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showInkAnnotation="0" codeName="ThisWorkbook" defaultThemeVersion="124226"/>
  <xr:revisionPtr revIDLastSave="0" documentId="13_ncr:1_{20F42301-38F3-4D6C-9551-74A4D36A7AEB}" xr6:coauthVersionLast="47" xr6:coauthVersionMax="47" xr10:uidLastSave="{00000000-0000-0000-0000-000000000000}"/>
  <bookViews>
    <workbookView xWindow="-110" yWindow="-110" windowWidth="19420" windowHeight="10420" xr2:uid="{00000000-000D-0000-FFFF-FFFF00000000}"/>
  </bookViews>
  <sheets>
    <sheet name="Pattern Approval Fees" sheetId="2" r:id="rId1"/>
    <sheet name="Volume Measuring" sheetId="1" r:id="rId2"/>
    <sheet name="Weighing &amp; Dimensioning" sheetId="4" r:id="rId3"/>
    <sheet name="Evidential Breath Analysers" sheetId="10" r:id="rId4"/>
    <sheet name="Grain Protein" sheetId="5" r:id="rId5"/>
    <sheet name="Utility meters" sheetId="9" r:id="rId6"/>
    <sheet name="Point of Sale Systems(POS)" sheetId="11" r:id="rId7"/>
    <sheet name="Hourly rate for Equipment" sheetId="13" r:id="rId8"/>
    <sheet name="Sheet1" sheetId="3"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1" l="1"/>
  <c r="L20" i="1"/>
  <c r="D23" i="1"/>
  <c r="D22" i="1"/>
  <c r="D19" i="10"/>
  <c r="C16" i="13"/>
  <c r="C15" i="13"/>
  <c r="C14" i="13"/>
  <c r="C13" i="13"/>
  <c r="C12" i="13"/>
  <c r="C11" i="13"/>
  <c r="C10" i="13"/>
  <c r="C9" i="13"/>
  <c r="C8" i="13"/>
  <c r="C7" i="13"/>
  <c r="C6" i="13"/>
  <c r="D9" i="11"/>
  <c r="D9" i="9"/>
  <c r="D21" i="5"/>
  <c r="D22" i="5"/>
  <c r="D19" i="5"/>
  <c r="D18" i="5"/>
  <c r="D16" i="5"/>
  <c r="D15" i="5"/>
  <c r="D9" i="5"/>
  <c r="D29" i="10"/>
  <c r="D28" i="10"/>
  <c r="D22" i="10"/>
  <c r="D21" i="10"/>
  <c r="D18" i="10"/>
  <c r="D9" i="10"/>
  <c r="D16" i="10"/>
  <c r="D15" i="10"/>
  <c r="L35" i="4"/>
  <c r="L24" i="4"/>
  <c r="L23" i="4"/>
  <c r="L22" i="4"/>
  <c r="L21" i="4"/>
  <c r="L20" i="4"/>
  <c r="L19" i="4"/>
  <c r="L18" i="4"/>
  <c r="L17" i="4"/>
  <c r="L16" i="4"/>
  <c r="H35" i="4"/>
  <c r="H24" i="4"/>
  <c r="H23" i="4"/>
  <c r="H22" i="4"/>
  <c r="H21" i="4"/>
  <c r="H20" i="4"/>
  <c r="H19" i="4"/>
  <c r="H18" i="4"/>
  <c r="H17" i="4"/>
  <c r="H16" i="4"/>
  <c r="D35" i="4"/>
  <c r="D24" i="4"/>
  <c r="D23" i="4"/>
  <c r="D22" i="4"/>
  <c r="D20" i="4"/>
  <c r="D21" i="4"/>
  <c r="D19" i="4"/>
  <c r="D18" i="4"/>
  <c r="D17" i="4"/>
  <c r="D16" i="4"/>
  <c r="L10" i="4"/>
  <c r="H10" i="4"/>
  <c r="D10" i="4"/>
  <c r="L35" i="1"/>
  <c r="L23" i="1"/>
  <c r="L22" i="1"/>
  <c r="L19" i="1"/>
  <c r="L17" i="1"/>
  <c r="L16" i="1"/>
  <c r="H35" i="1"/>
  <c r="H23" i="1"/>
  <c r="H22" i="1"/>
  <c r="H20" i="1"/>
  <c r="H19" i="1"/>
  <c r="H17" i="1"/>
  <c r="H16" i="1"/>
  <c r="D20" i="1" l="1"/>
  <c r="D19" i="1"/>
  <c r="D17" i="1"/>
  <c r="D16" i="1"/>
  <c r="L10" i="1"/>
  <c r="D10" i="1"/>
  <c r="H10" i="1"/>
  <c r="O18" i="4" l="1"/>
  <c r="G18" i="4"/>
  <c r="D14" i="11"/>
  <c r="D13" i="11"/>
  <c r="D10" i="11"/>
  <c r="D12" i="10"/>
  <c r="D11" i="10"/>
  <c r="D14" i="10"/>
  <c r="D13" i="10"/>
  <c r="D10" i="10"/>
  <c r="D14" i="9"/>
  <c r="D13" i="9"/>
  <c r="D10" i="9"/>
  <c r="D14" i="5"/>
  <c r="D13" i="5"/>
  <c r="D12" i="5"/>
  <c r="D11" i="5"/>
  <c r="D10" i="5"/>
  <c r="D36" i="5" l="1"/>
  <c r="D36" i="10"/>
  <c r="D36" i="11"/>
  <c r="D36" i="9"/>
  <c r="G24" i="4"/>
  <c r="G21" i="4"/>
  <c r="O35" i="4"/>
  <c r="K35" i="4"/>
  <c r="G35" i="4"/>
  <c r="O23" i="4"/>
  <c r="K23" i="4"/>
  <c r="G23" i="4"/>
  <c r="O22" i="4"/>
  <c r="K22" i="4"/>
  <c r="G22" i="4"/>
  <c r="O20" i="4"/>
  <c r="K20" i="4"/>
  <c r="G20" i="4"/>
  <c r="O19" i="4"/>
  <c r="K19" i="4"/>
  <c r="G19" i="4"/>
  <c r="O17" i="4"/>
  <c r="K17" i="4"/>
  <c r="G17" i="4"/>
  <c r="O16" i="4"/>
  <c r="K16" i="4"/>
  <c r="G16" i="4"/>
  <c r="L15" i="4"/>
  <c r="O15" i="4" s="1"/>
  <c r="H15" i="4"/>
  <c r="K15" i="4" s="1"/>
  <c r="D15" i="4"/>
  <c r="G15" i="4" s="1"/>
  <c r="L14" i="4"/>
  <c r="O14" i="4" s="1"/>
  <c r="H14" i="4"/>
  <c r="K14" i="4" s="1"/>
  <c r="D14" i="4"/>
  <c r="L13" i="4"/>
  <c r="O13" i="4" s="1"/>
  <c r="H13" i="4"/>
  <c r="K13" i="4" s="1"/>
  <c r="D13" i="4"/>
  <c r="G13" i="4" s="1"/>
  <c r="L12" i="4"/>
  <c r="O12" i="4" s="1"/>
  <c r="H12" i="4"/>
  <c r="K12" i="4" s="1"/>
  <c r="D12" i="4"/>
  <c r="G12" i="4" s="1"/>
  <c r="L11" i="4"/>
  <c r="O11" i="4" s="1"/>
  <c r="H11" i="4"/>
  <c r="K11" i="4" s="1"/>
  <c r="D11" i="4"/>
  <c r="O10" i="4"/>
  <c r="K10" i="4"/>
  <c r="G10" i="4"/>
  <c r="G11" i="4" l="1"/>
  <c r="D37" i="4"/>
  <c r="O37" i="4"/>
  <c r="K37" i="4"/>
  <c r="L37" i="4"/>
  <c r="G14" i="4"/>
  <c r="H37" i="4"/>
  <c r="O17" i="1"/>
  <c r="O16" i="1"/>
  <c r="O10" i="1"/>
  <c r="O20" i="1"/>
  <c r="O19" i="1"/>
  <c r="O23" i="1"/>
  <c r="O22" i="1"/>
  <c r="O35" i="1"/>
  <c r="G35" i="1"/>
  <c r="K35" i="1"/>
  <c r="K23" i="1"/>
  <c r="K22" i="1"/>
  <c r="K20" i="1"/>
  <c r="K19" i="1"/>
  <c r="K17" i="1"/>
  <c r="K16" i="1"/>
  <c r="K10" i="1"/>
  <c r="G23" i="1"/>
  <c r="G22" i="1"/>
  <c r="G20" i="1"/>
  <c r="G19" i="1"/>
  <c r="G17" i="1"/>
  <c r="G16" i="1"/>
  <c r="G10" i="1"/>
  <c r="D11" i="1"/>
  <c r="G11" i="1" s="1"/>
  <c r="G37" i="4" l="1"/>
  <c r="H11" i="1"/>
  <c r="L11" i="1"/>
  <c r="D12" i="1"/>
  <c r="G12" i="1" s="1"/>
  <c r="H12" i="1"/>
  <c r="K12" i="1" s="1"/>
  <c r="L12" i="1"/>
  <c r="O12" i="1" s="1"/>
  <c r="D13" i="1"/>
  <c r="G13" i="1" s="1"/>
  <c r="H13" i="1"/>
  <c r="K13" i="1" s="1"/>
  <c r="L13" i="1"/>
  <c r="O13" i="1" s="1"/>
  <c r="D14" i="1"/>
  <c r="G14" i="1" s="1"/>
  <c r="H14" i="1"/>
  <c r="K14" i="1" s="1"/>
  <c r="L14" i="1"/>
  <c r="O14" i="1" s="1"/>
  <c r="D15" i="1"/>
  <c r="G15" i="1" s="1"/>
  <c r="H15" i="1"/>
  <c r="K15" i="1" s="1"/>
  <c r="L15" i="1"/>
  <c r="O15" i="1" s="1"/>
  <c r="G37" i="1" l="1"/>
  <c r="K11" i="1"/>
  <c r="K37" i="1" s="1"/>
  <c r="H37" i="1"/>
  <c r="D37" i="1"/>
  <c r="L37" i="1"/>
  <c r="O11" i="1"/>
  <c r="O3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0" authorId="0" shapeId="0" xr:uid="{00000000-0006-0000-0000-000001000000}">
      <text>
        <r>
          <rPr>
            <b/>
            <sz val="8"/>
            <color indexed="81"/>
            <rFont val="Tahoma"/>
            <family val="2"/>
          </rPr>
          <t>What is a Variant?</t>
        </r>
        <r>
          <rPr>
            <sz val="8"/>
            <color indexed="81"/>
            <rFont val="Tahoma"/>
            <family val="2"/>
          </rPr>
          <t xml:space="preserve">
A variant is used to describe a deviation from the main instrument design. This deviation has the effect of changing the design, build standard, performance or function. 
Eg an approval may be given for a flowmetering system with a family of flowmeters with a range of flow rates, but a variant would be required to use a flowmeter with a substantially different design, i.e. being constructed of materials which are different to the main pattern or using a different technology.
If you are unsure of how many variants you may require please contact Pattern Approval for advice.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0" authorId="0" shapeId="0" xr:uid="{00000000-0006-0000-0100-000001000000}">
      <text>
        <r>
          <rPr>
            <b/>
            <sz val="8"/>
            <color indexed="81"/>
            <rFont val="Tahoma"/>
            <family val="2"/>
          </rPr>
          <t>Work involved in liaising with applicants, opening and processing an application.</t>
        </r>
      </text>
    </comment>
    <comment ref="A11" authorId="0" shapeId="0" xr:uid="{00000000-0006-0000-0100-000002000000}">
      <text>
        <r>
          <rPr>
            <b/>
            <sz val="8"/>
            <color indexed="81"/>
            <rFont val="Tahoma"/>
            <family val="2"/>
          </rPr>
          <t>Activities such as familiarisation with instrument, reading and understanding manuals, setting up equipment, checking documentation and identifying approval requirements for submission.</t>
        </r>
        <r>
          <rPr>
            <sz val="8"/>
            <color indexed="81"/>
            <rFont val="Tahoma"/>
            <family val="2"/>
          </rPr>
          <t xml:space="preserve">
</t>
        </r>
      </text>
    </comment>
    <comment ref="E11" authorId="0" shapeId="0" xr:uid="{00000000-0006-0000-0100-000003000000}">
      <text>
        <r>
          <rPr>
            <sz val="8"/>
            <color indexed="81"/>
            <rFont val="Tahoma"/>
            <family val="2"/>
          </rPr>
          <t xml:space="preserve">See key Below
</t>
        </r>
      </text>
    </comment>
    <comment ref="A12" authorId="0" shapeId="0" xr:uid="{00000000-0006-0000-0100-000004000000}">
      <text>
        <r>
          <rPr>
            <b/>
            <sz val="8"/>
            <color indexed="81"/>
            <rFont val="Tahoma"/>
            <family val="2"/>
          </rPr>
          <t xml:space="preserve">Covers all testing specified in the NMI’s documents for the pattern and carried out at reference conditions, for example at 20°C and 240 volts.
For a weighing instrument this includes linearity, hysteresis, repeatability, eccentricity, discrimination, zero return, creep, tilt etc. For a flowmeter it includes linearity, repeatability, effect of different liquids (viscosities), gas elimination, hose dilation, different densities etc.
It doe not include additional tests needed for variants. These are charged as extra tests under EXT. Also it does not include tests covered specifically by other categories, for example temperature tests (TT).
</t>
        </r>
        <r>
          <rPr>
            <sz val="8"/>
            <color indexed="81"/>
            <rFont val="Tahoma"/>
            <family val="2"/>
          </rPr>
          <t xml:space="preserve">
</t>
        </r>
      </text>
    </comment>
    <comment ref="A13" authorId="0" shapeId="0" xr:uid="{00000000-0006-0000-0100-000005000000}">
      <text>
        <r>
          <rPr>
            <b/>
            <sz val="8"/>
            <color indexed="81"/>
            <rFont val="Tahoma"/>
            <family val="2"/>
          </rPr>
          <t>Covers the examination of an instrument for compliance with specific requirements.</t>
        </r>
        <r>
          <rPr>
            <sz val="8"/>
            <color indexed="81"/>
            <rFont val="Tahoma"/>
            <family val="2"/>
          </rPr>
          <t xml:space="preserve">
</t>
        </r>
      </text>
    </comment>
    <comment ref="A14" authorId="0" shapeId="0" xr:uid="{00000000-0006-0000-0100-000006000000}">
      <text>
        <r>
          <rPr>
            <b/>
            <sz val="8"/>
            <color indexed="81"/>
            <rFont val="Tahoma"/>
            <family val="2"/>
          </rPr>
          <t>Covers the evaluation of the submission/test results and the preparation of an examination report.</t>
        </r>
        <r>
          <rPr>
            <sz val="8"/>
            <color indexed="81"/>
            <rFont val="Tahoma"/>
            <family val="2"/>
          </rPr>
          <t xml:space="preserve">
</t>
        </r>
      </text>
    </comment>
    <comment ref="A15" authorId="0" shapeId="0" xr:uid="{00000000-0006-0000-0100-000007000000}">
      <text>
        <r>
          <rPr>
            <b/>
            <sz val="8"/>
            <color indexed="81"/>
            <rFont val="Tahoma"/>
            <family val="2"/>
          </rPr>
          <t>Covers the preparation of the certificate and technical schedule.</t>
        </r>
        <r>
          <rPr>
            <sz val="8"/>
            <color indexed="81"/>
            <rFont val="Tahoma"/>
            <family val="2"/>
          </rPr>
          <t xml:space="preserve">
</t>
        </r>
      </text>
    </comment>
    <comment ref="A16" authorId="0" shapeId="0" xr:uid="{00000000-0006-0000-0100-000008000000}">
      <text>
        <r>
          <rPr>
            <b/>
            <sz val="8"/>
            <color indexed="81"/>
            <rFont val="Tahoma"/>
            <family val="2"/>
          </rPr>
          <t xml:space="preserve">Covers tests carried out at five temperatures. </t>
        </r>
      </text>
    </comment>
    <comment ref="A17" authorId="0" shapeId="0" xr:uid="{00000000-0006-0000-0100-000009000000}">
      <text>
        <r>
          <rPr>
            <b/>
            <sz val="8"/>
            <color indexed="81"/>
            <rFont val="Tahoma"/>
            <family val="2"/>
          </rPr>
          <t>Covers a ~5 day weighing and ~2day volume humidity test.</t>
        </r>
      </text>
    </comment>
    <comment ref="A18" authorId="0" shapeId="0" xr:uid="{00000000-0006-0000-0100-00000A000000}">
      <text>
        <r>
          <rPr>
            <b/>
            <sz val="8"/>
            <color indexed="81"/>
            <rFont val="Tahoma"/>
            <family val="2"/>
          </rPr>
          <t>Covers 12 day cyclic humidity test where applicable.</t>
        </r>
        <r>
          <rPr>
            <sz val="8"/>
            <color indexed="81"/>
            <rFont val="Tahoma"/>
            <family val="2"/>
          </rPr>
          <t xml:space="preserve">
</t>
        </r>
      </text>
    </comment>
    <comment ref="A19" authorId="0" shapeId="0" xr:uid="{00000000-0006-0000-0100-00000B000000}">
      <text>
        <r>
          <rPr>
            <b/>
            <sz val="8"/>
            <color indexed="81"/>
            <rFont val="Tahoma"/>
            <family val="2"/>
          </rPr>
          <t>Covers tests for voltage variation.</t>
        </r>
        <r>
          <rPr>
            <sz val="8"/>
            <color indexed="81"/>
            <rFont val="Tahoma"/>
            <family val="2"/>
          </rPr>
          <t xml:space="preserve">
</t>
        </r>
      </text>
    </comment>
    <comment ref="A20" authorId="0" shapeId="0" xr:uid="{00000000-0006-0000-0100-00000C000000}">
      <text>
        <r>
          <rPr>
            <b/>
            <sz val="8"/>
            <color indexed="81"/>
            <rFont val="Tahoma"/>
            <family val="2"/>
          </rPr>
          <t>Covers tests for disturbances on the power and communication cables.</t>
        </r>
        <r>
          <rPr>
            <sz val="8"/>
            <color indexed="81"/>
            <rFont val="Tahoma"/>
            <family val="2"/>
          </rPr>
          <t xml:space="preserve">
</t>
        </r>
      </text>
    </comment>
    <comment ref="A21" authorId="0" shapeId="0" xr:uid="{00000000-0006-0000-0100-00000D000000}">
      <text>
        <r>
          <rPr>
            <b/>
            <sz val="8"/>
            <color indexed="81"/>
            <rFont val="Tahoma"/>
            <family val="2"/>
          </rPr>
          <t>Covers surge testing.</t>
        </r>
        <r>
          <rPr>
            <sz val="8"/>
            <color indexed="81"/>
            <rFont val="Tahoma"/>
            <family val="2"/>
          </rPr>
          <t xml:space="preserve">
</t>
        </r>
      </text>
    </comment>
    <comment ref="A22" authorId="0" shapeId="0" xr:uid="{00000000-0006-0000-0100-00000E000000}">
      <text>
        <r>
          <rPr>
            <b/>
            <sz val="8"/>
            <color indexed="81"/>
            <rFont val="Tahoma"/>
            <family val="2"/>
          </rPr>
          <t>Covers tests for electrostatic discharge.</t>
        </r>
        <r>
          <rPr>
            <sz val="8"/>
            <color indexed="81"/>
            <rFont val="Tahoma"/>
            <family val="2"/>
          </rPr>
          <t xml:space="preserve">
</t>
        </r>
      </text>
    </comment>
    <comment ref="A23" authorId="0" shapeId="0" xr:uid="{00000000-0006-0000-0100-00000F000000}">
      <text>
        <r>
          <rPr>
            <b/>
            <sz val="8"/>
            <color indexed="81"/>
            <rFont val="Tahoma"/>
            <family val="2"/>
          </rPr>
          <t>Covers tests for the effect of electromagnetic interference upto 1GHz.</t>
        </r>
        <r>
          <rPr>
            <sz val="8"/>
            <color indexed="81"/>
            <rFont val="Tahoma"/>
            <family val="2"/>
          </rPr>
          <t xml:space="preserve">
</t>
        </r>
      </text>
    </comment>
    <comment ref="A24" authorId="0" shapeId="0" xr:uid="{00000000-0006-0000-0100-000010000000}">
      <text>
        <r>
          <rPr>
            <b/>
            <sz val="8"/>
            <color indexed="81"/>
            <rFont val="Tahoma"/>
            <family val="2"/>
          </rPr>
          <t>Covers tests for the effect of high frequency electromagnetic interference.</t>
        </r>
        <r>
          <rPr>
            <sz val="8"/>
            <color indexed="81"/>
            <rFont val="Tahoma"/>
            <family val="2"/>
          </rPr>
          <t xml:space="preserve">
</t>
        </r>
      </text>
    </comment>
    <comment ref="A35" authorId="0" shapeId="0" xr:uid="{00000000-0006-0000-0100-000011000000}">
      <text>
        <r>
          <rPr>
            <b/>
            <sz val="8"/>
            <color indexed="81"/>
            <rFont val="Tahoma"/>
            <family val="2"/>
          </rPr>
          <t>Covers tests for span stability and endurance/reliability. Excluding flowmetering equipment listed.</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0" authorId="0" shapeId="0" xr:uid="{00000000-0006-0000-0200-000001000000}">
      <text>
        <r>
          <rPr>
            <b/>
            <sz val="8"/>
            <color indexed="81"/>
            <rFont val="Tahoma"/>
            <family val="2"/>
          </rPr>
          <t>Work involved in liaising with applicants, opening and processing an application.</t>
        </r>
      </text>
    </comment>
    <comment ref="A11" authorId="0" shapeId="0" xr:uid="{00000000-0006-0000-0200-000002000000}">
      <text>
        <r>
          <rPr>
            <b/>
            <sz val="8"/>
            <color indexed="81"/>
            <rFont val="Tahoma"/>
            <family val="2"/>
          </rPr>
          <t>Activities such as familiarisation with instrument, reading and understanding manuals, setting up equipment, checking documentation and identifying approval requirements for submission.</t>
        </r>
        <r>
          <rPr>
            <sz val="8"/>
            <color indexed="81"/>
            <rFont val="Tahoma"/>
            <family val="2"/>
          </rPr>
          <t xml:space="preserve">
</t>
        </r>
      </text>
    </comment>
    <comment ref="E11" authorId="0" shapeId="0" xr:uid="{00000000-0006-0000-0200-000003000000}">
      <text>
        <r>
          <rPr>
            <b/>
            <sz val="9"/>
            <color indexed="81"/>
            <rFont val="Tahoma"/>
            <family val="2"/>
          </rPr>
          <t>Author:</t>
        </r>
        <r>
          <rPr>
            <sz val="9"/>
            <color indexed="81"/>
            <rFont val="Tahoma"/>
            <family val="2"/>
          </rPr>
          <t xml:space="preserve">
See key bellow</t>
        </r>
      </text>
    </comment>
    <comment ref="A12" authorId="0" shapeId="0" xr:uid="{00000000-0006-0000-0200-000004000000}">
      <text>
        <r>
          <rPr>
            <b/>
            <sz val="8"/>
            <color indexed="81"/>
            <rFont val="Tahoma"/>
            <family val="2"/>
          </rPr>
          <t xml:space="preserve">Covers all testing specified in the NMI’s documents for the pattern and carried out at reference conditions, for example at 20°C and 240 volts.
For a weighing instrument this includes linearity, hysteresis, repeatability, eccentricity, discrimination, zero return, creep, tilt etc. For a flowmeter it includes linearity, repeatability, effect of different liquids (viscosities), gas elimination, hose dilation, different densities etc.
It doe not include additional tests needed for variants. These are charged as extra tests under EXT. Also it does not include tests covered specifically by other categories, for example temperature tests (TT).
</t>
        </r>
        <r>
          <rPr>
            <sz val="8"/>
            <color indexed="81"/>
            <rFont val="Tahoma"/>
            <family val="2"/>
          </rPr>
          <t xml:space="preserve">
</t>
        </r>
      </text>
    </comment>
    <comment ref="A13" authorId="0" shapeId="0" xr:uid="{00000000-0006-0000-0200-000005000000}">
      <text>
        <r>
          <rPr>
            <b/>
            <sz val="8"/>
            <color indexed="81"/>
            <rFont val="Tahoma"/>
            <family val="2"/>
          </rPr>
          <t>Covers the examination of an instrument for compliance with specific requirements.</t>
        </r>
        <r>
          <rPr>
            <sz val="8"/>
            <color indexed="81"/>
            <rFont val="Tahoma"/>
            <family val="2"/>
          </rPr>
          <t xml:space="preserve">
</t>
        </r>
      </text>
    </comment>
    <comment ref="A14" authorId="0" shapeId="0" xr:uid="{00000000-0006-0000-0200-000006000000}">
      <text>
        <r>
          <rPr>
            <b/>
            <sz val="8"/>
            <color indexed="81"/>
            <rFont val="Tahoma"/>
            <family val="2"/>
          </rPr>
          <t>Covers the evaluation of the submission/test results and the preparation of an examination report.</t>
        </r>
        <r>
          <rPr>
            <sz val="8"/>
            <color indexed="81"/>
            <rFont val="Tahoma"/>
            <family val="2"/>
          </rPr>
          <t xml:space="preserve">
</t>
        </r>
      </text>
    </comment>
    <comment ref="A15" authorId="0" shapeId="0" xr:uid="{00000000-0006-0000-0200-000007000000}">
      <text>
        <r>
          <rPr>
            <b/>
            <sz val="8"/>
            <color indexed="81"/>
            <rFont val="Tahoma"/>
            <family val="2"/>
          </rPr>
          <t>Covers the preparation of the certificate and technical schedule.</t>
        </r>
        <r>
          <rPr>
            <sz val="8"/>
            <color indexed="81"/>
            <rFont val="Tahoma"/>
            <family val="2"/>
          </rPr>
          <t xml:space="preserve">
</t>
        </r>
      </text>
    </comment>
    <comment ref="A16" authorId="0" shapeId="0" xr:uid="{00000000-0006-0000-0200-000008000000}">
      <text>
        <r>
          <rPr>
            <b/>
            <sz val="8"/>
            <color indexed="81"/>
            <rFont val="Tahoma"/>
            <family val="2"/>
          </rPr>
          <t xml:space="preserve">Covers tests carried out at five temperatures. </t>
        </r>
      </text>
    </comment>
    <comment ref="A17" authorId="0" shapeId="0" xr:uid="{00000000-0006-0000-0200-000009000000}">
      <text>
        <r>
          <rPr>
            <b/>
            <sz val="8"/>
            <color indexed="81"/>
            <rFont val="Tahoma"/>
            <family val="2"/>
          </rPr>
          <t>Covers a ~5 day weighing and ~2day volume humidity test.</t>
        </r>
      </text>
    </comment>
    <comment ref="A18" authorId="0" shapeId="0" xr:uid="{00000000-0006-0000-0200-00000A000000}">
      <text>
        <r>
          <rPr>
            <b/>
            <sz val="8"/>
            <color indexed="81"/>
            <rFont val="Tahoma"/>
            <family val="2"/>
          </rPr>
          <t>Covers 12 day cyclic humidity test where applicable.</t>
        </r>
        <r>
          <rPr>
            <sz val="8"/>
            <color indexed="81"/>
            <rFont val="Tahoma"/>
            <family val="2"/>
          </rPr>
          <t xml:space="preserve">
</t>
        </r>
      </text>
    </comment>
    <comment ref="A19" authorId="0" shapeId="0" xr:uid="{00000000-0006-0000-0200-00000B000000}">
      <text>
        <r>
          <rPr>
            <b/>
            <sz val="8"/>
            <color indexed="81"/>
            <rFont val="Tahoma"/>
            <family val="2"/>
          </rPr>
          <t>Covers tests for voltage variation.</t>
        </r>
        <r>
          <rPr>
            <sz val="8"/>
            <color indexed="81"/>
            <rFont val="Tahoma"/>
            <family val="2"/>
          </rPr>
          <t xml:space="preserve">
</t>
        </r>
      </text>
    </comment>
    <comment ref="A20" authorId="0" shapeId="0" xr:uid="{00000000-0006-0000-0200-00000C000000}">
      <text>
        <r>
          <rPr>
            <b/>
            <sz val="8"/>
            <color indexed="81"/>
            <rFont val="Tahoma"/>
            <family val="2"/>
          </rPr>
          <t>Covers tests for disturbances on the power and communication cables.</t>
        </r>
        <r>
          <rPr>
            <sz val="8"/>
            <color indexed="81"/>
            <rFont val="Tahoma"/>
            <family val="2"/>
          </rPr>
          <t xml:space="preserve">
</t>
        </r>
      </text>
    </comment>
    <comment ref="A21" authorId="0" shapeId="0" xr:uid="{00000000-0006-0000-0200-00000D000000}">
      <text>
        <r>
          <rPr>
            <b/>
            <sz val="8"/>
            <color indexed="81"/>
            <rFont val="Tahoma"/>
            <family val="2"/>
          </rPr>
          <t>Covers surge testing.</t>
        </r>
        <r>
          <rPr>
            <sz val="8"/>
            <color indexed="81"/>
            <rFont val="Tahoma"/>
            <family val="2"/>
          </rPr>
          <t xml:space="preserve">
</t>
        </r>
      </text>
    </comment>
    <comment ref="A22" authorId="0" shapeId="0" xr:uid="{00000000-0006-0000-0200-00000E000000}">
      <text>
        <r>
          <rPr>
            <b/>
            <sz val="8"/>
            <color indexed="81"/>
            <rFont val="Tahoma"/>
            <family val="2"/>
          </rPr>
          <t>Covers tests for electrostatic discharge.</t>
        </r>
        <r>
          <rPr>
            <sz val="8"/>
            <color indexed="81"/>
            <rFont val="Tahoma"/>
            <family val="2"/>
          </rPr>
          <t xml:space="preserve">
</t>
        </r>
      </text>
    </comment>
    <comment ref="A23" authorId="0" shapeId="0" xr:uid="{00000000-0006-0000-0200-00000F000000}">
      <text>
        <r>
          <rPr>
            <b/>
            <sz val="8"/>
            <color indexed="81"/>
            <rFont val="Tahoma"/>
            <family val="2"/>
          </rPr>
          <t>Covers tests for the effect of electromagnetic interference upto 1GHz.</t>
        </r>
        <r>
          <rPr>
            <sz val="8"/>
            <color indexed="81"/>
            <rFont val="Tahoma"/>
            <family val="2"/>
          </rPr>
          <t xml:space="preserve">
</t>
        </r>
      </text>
    </comment>
    <comment ref="A24" authorId="0" shapeId="0" xr:uid="{00000000-0006-0000-0200-000010000000}">
      <text>
        <r>
          <rPr>
            <b/>
            <sz val="8"/>
            <color indexed="81"/>
            <rFont val="Tahoma"/>
            <family val="2"/>
          </rPr>
          <t>Covers tests for the effect of high frequency electromagnetic interference.</t>
        </r>
        <r>
          <rPr>
            <sz val="8"/>
            <color indexed="81"/>
            <rFont val="Tahoma"/>
            <family val="2"/>
          </rPr>
          <t xml:space="preserve">
</t>
        </r>
      </text>
    </comment>
    <comment ref="A35" authorId="0" shapeId="0" xr:uid="{00000000-0006-0000-0200-000011000000}">
      <text>
        <r>
          <rPr>
            <b/>
            <sz val="8"/>
            <color indexed="81"/>
            <rFont val="Tahoma"/>
            <family val="2"/>
          </rPr>
          <t>Covers tests for span stability and endurance/reliability. Excluding flowmetering equipment listed.</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9" authorId="0" shapeId="0" xr:uid="{00000000-0006-0000-0300-000001000000}">
      <text>
        <r>
          <rPr>
            <b/>
            <sz val="8"/>
            <color indexed="81"/>
            <rFont val="Tahoma"/>
            <family val="2"/>
          </rPr>
          <t>Work involved in liaising with applicants, opening and processing an application.</t>
        </r>
      </text>
    </comment>
    <comment ref="A10" authorId="0" shapeId="0" xr:uid="{00000000-0006-0000-0300-000002000000}">
      <text>
        <r>
          <rPr>
            <b/>
            <sz val="8"/>
            <color indexed="81"/>
            <rFont val="Tahoma"/>
            <family val="2"/>
          </rPr>
          <t>Activities such as familiarisation with instrument, reading and understanding manuals, setting up equipment, checking documentation and identifying approval requirements for submission.</t>
        </r>
        <r>
          <rPr>
            <sz val="8"/>
            <color indexed="81"/>
            <rFont val="Tahoma"/>
            <family val="2"/>
          </rPr>
          <t xml:space="preserve">
</t>
        </r>
      </text>
    </comment>
    <comment ref="E10" authorId="0" shapeId="0" xr:uid="{00000000-0006-0000-0300-000003000000}">
      <text>
        <r>
          <rPr>
            <b/>
            <sz val="9"/>
            <color indexed="81"/>
            <rFont val="Tahoma"/>
            <family val="2"/>
          </rPr>
          <t>Author:</t>
        </r>
        <r>
          <rPr>
            <sz val="9"/>
            <color indexed="81"/>
            <rFont val="Tahoma"/>
            <family val="2"/>
          </rPr>
          <t xml:space="preserve">
see key below</t>
        </r>
      </text>
    </comment>
    <comment ref="A11" authorId="0" shapeId="0" xr:uid="{00000000-0006-0000-0300-000004000000}">
      <text>
        <r>
          <rPr>
            <b/>
            <sz val="8"/>
            <color indexed="81"/>
            <rFont val="Tahoma"/>
            <family val="2"/>
          </rPr>
          <t xml:space="preserve">Covers all testing specified in the NMI’s documents for the pattern and carried out at reference conditions, for example at 20°C and 240 volts.
For a weighing instrument this includes linearity, hysteresis, repeatability, eccentricity, discrimination, zero return, creep, tilt etc. For a flowmeter it includes linearity, repeatability, effect of different liquids (viscosities), gas elimination, hose dilation, different densities etc.
It doe not include additional tests needed for variants. These are charged as extra tests under EXT. Also it does not include tests covered specifically by other categories, for example temperature tests (TT).
</t>
        </r>
        <r>
          <rPr>
            <sz val="8"/>
            <color indexed="81"/>
            <rFont val="Tahoma"/>
            <family val="2"/>
          </rPr>
          <t xml:space="preserve">
</t>
        </r>
      </text>
    </comment>
    <comment ref="A12" authorId="0" shapeId="0" xr:uid="{00000000-0006-0000-0300-000005000000}">
      <text>
        <r>
          <rPr>
            <b/>
            <sz val="8"/>
            <color indexed="81"/>
            <rFont val="Tahoma"/>
            <family val="2"/>
          </rPr>
          <t>Covers the examination of an instrument for compliance with specific requirements.</t>
        </r>
        <r>
          <rPr>
            <sz val="8"/>
            <color indexed="81"/>
            <rFont val="Tahoma"/>
            <family val="2"/>
          </rPr>
          <t xml:space="preserve">
</t>
        </r>
      </text>
    </comment>
    <comment ref="A13" authorId="0" shapeId="0" xr:uid="{00000000-0006-0000-0300-000006000000}">
      <text>
        <r>
          <rPr>
            <b/>
            <sz val="8"/>
            <color indexed="81"/>
            <rFont val="Tahoma"/>
            <family val="2"/>
          </rPr>
          <t>Covers the evaluation of the submission/test results and the preparation of an examination report.</t>
        </r>
        <r>
          <rPr>
            <sz val="8"/>
            <color indexed="81"/>
            <rFont val="Tahoma"/>
            <family val="2"/>
          </rPr>
          <t xml:space="preserve">
</t>
        </r>
      </text>
    </comment>
    <comment ref="A14" authorId="0" shapeId="0" xr:uid="{00000000-0006-0000-0300-000007000000}">
      <text>
        <r>
          <rPr>
            <b/>
            <sz val="8"/>
            <color indexed="81"/>
            <rFont val="Tahoma"/>
            <family val="2"/>
          </rPr>
          <t>Covers the preparation of the certificate and technical schedule.</t>
        </r>
        <r>
          <rPr>
            <sz val="8"/>
            <color indexed="81"/>
            <rFont val="Tahoma"/>
            <family val="2"/>
          </rPr>
          <t xml:space="preserve">
</t>
        </r>
      </text>
    </comment>
    <comment ref="A15" authorId="0" shapeId="0" xr:uid="{00000000-0006-0000-0300-000008000000}">
      <text>
        <r>
          <rPr>
            <b/>
            <sz val="8"/>
            <color indexed="81"/>
            <rFont val="Tahoma"/>
            <family val="2"/>
          </rPr>
          <t xml:space="preserve">Covers tests carried out at five temperatures. </t>
        </r>
      </text>
    </comment>
    <comment ref="A16" authorId="0" shapeId="0" xr:uid="{00000000-0006-0000-0300-000009000000}">
      <text>
        <r>
          <rPr>
            <b/>
            <sz val="8"/>
            <color indexed="81"/>
            <rFont val="Tahoma"/>
            <family val="2"/>
          </rPr>
          <t>Covers a ~5 day weighing and ~2day volume humidity test.</t>
        </r>
      </text>
    </comment>
    <comment ref="A17" authorId="0" shapeId="0" xr:uid="{00000000-0006-0000-0300-00000A000000}">
      <text>
        <r>
          <rPr>
            <b/>
            <sz val="8"/>
            <color indexed="81"/>
            <rFont val="Tahoma"/>
            <family val="2"/>
          </rPr>
          <t>Covers 12 day cyclic humidity test where applicable.</t>
        </r>
        <r>
          <rPr>
            <sz val="8"/>
            <color indexed="81"/>
            <rFont val="Tahoma"/>
            <family val="2"/>
          </rPr>
          <t xml:space="preserve">
</t>
        </r>
      </text>
    </comment>
    <comment ref="A18" authorId="0" shapeId="0" xr:uid="{00000000-0006-0000-0300-00000B000000}">
      <text>
        <r>
          <rPr>
            <b/>
            <sz val="8"/>
            <color indexed="81"/>
            <rFont val="Tahoma"/>
            <family val="2"/>
          </rPr>
          <t>Covers tests for voltage variation.</t>
        </r>
        <r>
          <rPr>
            <sz val="8"/>
            <color indexed="81"/>
            <rFont val="Tahoma"/>
            <family val="2"/>
          </rPr>
          <t xml:space="preserve">
</t>
        </r>
      </text>
    </comment>
    <comment ref="A19" authorId="0" shapeId="0" xr:uid="{00000000-0006-0000-0300-00000C000000}">
      <text>
        <r>
          <rPr>
            <b/>
            <sz val="8"/>
            <color indexed="81"/>
            <rFont val="Tahoma"/>
            <family val="2"/>
          </rPr>
          <t>Covers tests for disturbances on the power and communication cables.</t>
        </r>
        <r>
          <rPr>
            <sz val="8"/>
            <color indexed="81"/>
            <rFont val="Tahoma"/>
            <family val="2"/>
          </rPr>
          <t xml:space="preserve">
</t>
        </r>
      </text>
    </comment>
    <comment ref="A20" authorId="0" shapeId="0" xr:uid="{00000000-0006-0000-0300-00000D000000}">
      <text>
        <r>
          <rPr>
            <b/>
            <sz val="8"/>
            <color indexed="81"/>
            <rFont val="Tahoma"/>
            <family val="2"/>
          </rPr>
          <t>Covers surge testing.</t>
        </r>
        <r>
          <rPr>
            <sz val="8"/>
            <color indexed="81"/>
            <rFont val="Tahoma"/>
            <family val="2"/>
          </rPr>
          <t xml:space="preserve">
</t>
        </r>
      </text>
    </comment>
    <comment ref="A21" authorId="0" shapeId="0" xr:uid="{00000000-0006-0000-0300-00000E000000}">
      <text>
        <r>
          <rPr>
            <b/>
            <sz val="8"/>
            <color indexed="81"/>
            <rFont val="Tahoma"/>
            <family val="2"/>
          </rPr>
          <t>Covers tests for electrostatic discharge.</t>
        </r>
        <r>
          <rPr>
            <sz val="8"/>
            <color indexed="81"/>
            <rFont val="Tahoma"/>
            <family val="2"/>
          </rPr>
          <t xml:space="preserve">
</t>
        </r>
      </text>
    </comment>
    <comment ref="A22" authorId="0" shapeId="0" xr:uid="{00000000-0006-0000-0300-00000F000000}">
      <text>
        <r>
          <rPr>
            <b/>
            <sz val="8"/>
            <color indexed="81"/>
            <rFont val="Tahoma"/>
            <family val="2"/>
          </rPr>
          <t>Covers tests for the effect of electromagnetic interference upto 1GHz.</t>
        </r>
        <r>
          <rPr>
            <sz val="8"/>
            <color indexed="81"/>
            <rFont val="Tahoma"/>
            <family val="2"/>
          </rPr>
          <t xml:space="preserve">
</t>
        </r>
      </text>
    </comment>
    <comment ref="A23" authorId="0" shapeId="0" xr:uid="{00000000-0006-0000-0300-000010000000}">
      <text>
        <r>
          <rPr>
            <b/>
            <sz val="8"/>
            <color indexed="81"/>
            <rFont val="Tahoma"/>
            <family val="2"/>
          </rPr>
          <t>Covers tests for the effect of high frequency electromagnetic interference.</t>
        </r>
        <r>
          <rPr>
            <sz val="8"/>
            <color indexed="81"/>
            <rFont val="Tahoma"/>
            <family val="2"/>
          </rPr>
          <t xml:space="preserve">
</t>
        </r>
      </text>
    </comment>
    <comment ref="A34" authorId="0" shapeId="0" xr:uid="{00000000-0006-0000-0300-000011000000}">
      <text>
        <r>
          <rPr>
            <b/>
            <sz val="8"/>
            <color indexed="81"/>
            <rFont val="Tahoma"/>
            <family val="2"/>
          </rPr>
          <t>Covers tests for span stability and endurance/reliability. Excluding flowmetering equipment listed.</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9" authorId="0" shapeId="0" xr:uid="{00000000-0006-0000-0400-000001000000}">
      <text>
        <r>
          <rPr>
            <b/>
            <sz val="8"/>
            <color indexed="81"/>
            <rFont val="Tahoma"/>
            <family val="2"/>
          </rPr>
          <t>Work involved in liaising with applicants, opening and processing an application.</t>
        </r>
      </text>
    </comment>
    <comment ref="A10" authorId="0" shapeId="0" xr:uid="{00000000-0006-0000-0400-000002000000}">
      <text>
        <r>
          <rPr>
            <b/>
            <sz val="8"/>
            <color indexed="81"/>
            <rFont val="Tahoma"/>
            <family val="2"/>
          </rPr>
          <t>Activities such as familiarisation with instrument, reading and understanding manuals, setting up equipment, checking documentation and identifying approval requirements for submission.</t>
        </r>
        <r>
          <rPr>
            <sz val="8"/>
            <color indexed="81"/>
            <rFont val="Tahoma"/>
            <family val="2"/>
          </rPr>
          <t xml:space="preserve">
</t>
        </r>
      </text>
    </comment>
    <comment ref="E10" authorId="0" shapeId="0" xr:uid="{00000000-0006-0000-0400-000003000000}">
      <text>
        <r>
          <rPr>
            <b/>
            <sz val="9"/>
            <color indexed="81"/>
            <rFont val="Tahoma"/>
            <family val="2"/>
          </rPr>
          <t>Author:</t>
        </r>
        <r>
          <rPr>
            <sz val="9"/>
            <color indexed="81"/>
            <rFont val="Tahoma"/>
            <family val="2"/>
          </rPr>
          <t xml:space="preserve">
see key below</t>
        </r>
      </text>
    </comment>
    <comment ref="A11" authorId="0" shapeId="0" xr:uid="{00000000-0006-0000-0400-000004000000}">
      <text>
        <r>
          <rPr>
            <b/>
            <sz val="8"/>
            <color indexed="81"/>
            <rFont val="Tahoma"/>
            <family val="2"/>
          </rPr>
          <t xml:space="preserve">Covers all testing specified in the NMI’s documents for the pattern and carried out at reference conditions, for example at 20°C and 240 volts.
For a weighing instrument this includes linearity, hysteresis, repeatability, eccentricity, discrimination, zero return, creep, tilt etc. For a flowmeter it includes linearity, repeatability, effect of different liquids (viscosities), gas elimination, hose dilation, different densities etc.
It doe not include additional tests needed for variants. These are charged as extra tests under EXT. Also it does not include tests covered specifically by other categories, for example temperature tests (TT).
</t>
        </r>
        <r>
          <rPr>
            <sz val="8"/>
            <color indexed="81"/>
            <rFont val="Tahoma"/>
            <family val="2"/>
          </rPr>
          <t xml:space="preserve">
</t>
        </r>
      </text>
    </comment>
    <comment ref="A12" authorId="0" shapeId="0" xr:uid="{00000000-0006-0000-0400-000005000000}">
      <text>
        <r>
          <rPr>
            <b/>
            <sz val="8"/>
            <color indexed="81"/>
            <rFont val="Tahoma"/>
            <family val="2"/>
          </rPr>
          <t>Covers the examination of an instrument for compliance with specific requirements.</t>
        </r>
        <r>
          <rPr>
            <sz val="8"/>
            <color indexed="81"/>
            <rFont val="Tahoma"/>
            <family val="2"/>
          </rPr>
          <t xml:space="preserve">
</t>
        </r>
      </text>
    </comment>
    <comment ref="A13" authorId="0" shapeId="0" xr:uid="{00000000-0006-0000-0400-000006000000}">
      <text>
        <r>
          <rPr>
            <b/>
            <sz val="8"/>
            <color indexed="81"/>
            <rFont val="Tahoma"/>
            <family val="2"/>
          </rPr>
          <t>Covers the evaluation of the submission/test results and the preparation of an examination report.</t>
        </r>
        <r>
          <rPr>
            <sz val="8"/>
            <color indexed="81"/>
            <rFont val="Tahoma"/>
            <family val="2"/>
          </rPr>
          <t xml:space="preserve">
</t>
        </r>
      </text>
    </comment>
    <comment ref="A14" authorId="0" shapeId="0" xr:uid="{00000000-0006-0000-0400-000007000000}">
      <text>
        <r>
          <rPr>
            <b/>
            <sz val="8"/>
            <color indexed="81"/>
            <rFont val="Tahoma"/>
            <family val="2"/>
          </rPr>
          <t>Covers the preparation of the certificate and technical schedule.</t>
        </r>
        <r>
          <rPr>
            <sz val="8"/>
            <color indexed="81"/>
            <rFont val="Tahoma"/>
            <family val="2"/>
          </rPr>
          <t xml:space="preserve">
</t>
        </r>
      </text>
    </comment>
    <comment ref="A15" authorId="0" shapeId="0" xr:uid="{00000000-0006-0000-0400-000008000000}">
      <text>
        <r>
          <rPr>
            <b/>
            <sz val="8"/>
            <color indexed="81"/>
            <rFont val="Tahoma"/>
            <family val="2"/>
          </rPr>
          <t xml:space="preserve">Covers tests carried out at five temperatures. </t>
        </r>
      </text>
    </comment>
    <comment ref="A16" authorId="0" shapeId="0" xr:uid="{00000000-0006-0000-0400-000009000000}">
      <text>
        <r>
          <rPr>
            <b/>
            <sz val="8"/>
            <color indexed="81"/>
            <rFont val="Tahoma"/>
            <family val="2"/>
          </rPr>
          <t>Covers a ~5 day weighing and ~2day volume humidity test.</t>
        </r>
      </text>
    </comment>
    <comment ref="A17" authorId="0" shapeId="0" xr:uid="{00000000-0006-0000-0400-00000A000000}">
      <text>
        <r>
          <rPr>
            <b/>
            <sz val="8"/>
            <color indexed="81"/>
            <rFont val="Tahoma"/>
            <family val="2"/>
          </rPr>
          <t>Covers 12 day cyclic humidity test where applicable.</t>
        </r>
        <r>
          <rPr>
            <sz val="8"/>
            <color indexed="81"/>
            <rFont val="Tahoma"/>
            <family val="2"/>
          </rPr>
          <t xml:space="preserve">
</t>
        </r>
      </text>
    </comment>
    <comment ref="A18" authorId="0" shapeId="0" xr:uid="{00000000-0006-0000-0400-00000B000000}">
      <text>
        <r>
          <rPr>
            <b/>
            <sz val="8"/>
            <color indexed="81"/>
            <rFont val="Tahoma"/>
            <family val="2"/>
          </rPr>
          <t>Covers tests for voltage variation.</t>
        </r>
        <r>
          <rPr>
            <sz val="8"/>
            <color indexed="81"/>
            <rFont val="Tahoma"/>
            <family val="2"/>
          </rPr>
          <t xml:space="preserve">
</t>
        </r>
      </text>
    </comment>
    <comment ref="A19" authorId="0" shapeId="0" xr:uid="{00000000-0006-0000-0400-00000C000000}">
      <text>
        <r>
          <rPr>
            <b/>
            <sz val="8"/>
            <color indexed="81"/>
            <rFont val="Tahoma"/>
            <family val="2"/>
          </rPr>
          <t>Covers tests for disturbances on the power and communication cables.</t>
        </r>
        <r>
          <rPr>
            <sz val="8"/>
            <color indexed="81"/>
            <rFont val="Tahoma"/>
            <family val="2"/>
          </rPr>
          <t xml:space="preserve">
</t>
        </r>
      </text>
    </comment>
    <comment ref="A20" authorId="0" shapeId="0" xr:uid="{00000000-0006-0000-0400-00000D000000}">
      <text>
        <r>
          <rPr>
            <b/>
            <sz val="8"/>
            <color indexed="81"/>
            <rFont val="Tahoma"/>
            <family val="2"/>
          </rPr>
          <t>Covers surge testing.</t>
        </r>
        <r>
          <rPr>
            <sz val="8"/>
            <color indexed="81"/>
            <rFont val="Tahoma"/>
            <family val="2"/>
          </rPr>
          <t xml:space="preserve">
</t>
        </r>
      </text>
    </comment>
    <comment ref="A21" authorId="0" shapeId="0" xr:uid="{00000000-0006-0000-0400-00000E000000}">
      <text>
        <r>
          <rPr>
            <b/>
            <sz val="8"/>
            <color indexed="81"/>
            <rFont val="Tahoma"/>
            <family val="2"/>
          </rPr>
          <t>Covers tests for electrostatic discharge.</t>
        </r>
        <r>
          <rPr>
            <sz val="8"/>
            <color indexed="81"/>
            <rFont val="Tahoma"/>
            <family val="2"/>
          </rPr>
          <t xml:space="preserve">
</t>
        </r>
      </text>
    </comment>
    <comment ref="A22" authorId="0" shapeId="0" xr:uid="{00000000-0006-0000-0400-00000F000000}">
      <text>
        <r>
          <rPr>
            <b/>
            <sz val="8"/>
            <color indexed="81"/>
            <rFont val="Tahoma"/>
            <family val="2"/>
          </rPr>
          <t>Covers tests for the effect of electromagnetic interference upto 1GHz.</t>
        </r>
        <r>
          <rPr>
            <sz val="8"/>
            <color indexed="81"/>
            <rFont val="Tahoma"/>
            <family val="2"/>
          </rPr>
          <t xml:space="preserve">
</t>
        </r>
      </text>
    </comment>
    <comment ref="A23" authorId="0" shapeId="0" xr:uid="{00000000-0006-0000-0400-000010000000}">
      <text>
        <r>
          <rPr>
            <b/>
            <sz val="8"/>
            <color indexed="81"/>
            <rFont val="Tahoma"/>
            <family val="2"/>
          </rPr>
          <t>Covers tests for the effect of high frequency electromagnetic interference.</t>
        </r>
        <r>
          <rPr>
            <sz val="8"/>
            <color indexed="81"/>
            <rFont val="Tahoma"/>
            <family val="2"/>
          </rPr>
          <t xml:space="preserve">
</t>
        </r>
      </text>
    </comment>
    <comment ref="A34" authorId="0" shapeId="0" xr:uid="{00000000-0006-0000-0400-000011000000}">
      <text>
        <r>
          <rPr>
            <b/>
            <sz val="8"/>
            <color indexed="81"/>
            <rFont val="Tahoma"/>
            <family val="2"/>
          </rPr>
          <t>Covers tests for span stability and endurance/reliability. Excluding flowmetering equipment listed.</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9" authorId="0" shapeId="0" xr:uid="{00000000-0006-0000-0500-000001000000}">
      <text>
        <r>
          <rPr>
            <b/>
            <sz val="8"/>
            <color indexed="81"/>
            <rFont val="Tahoma"/>
            <family val="2"/>
          </rPr>
          <t>Work involved in liaising with applicants, opening and processing an application.</t>
        </r>
      </text>
    </comment>
    <comment ref="A10" authorId="0" shapeId="0" xr:uid="{00000000-0006-0000-0500-000002000000}">
      <text>
        <r>
          <rPr>
            <b/>
            <sz val="8"/>
            <color indexed="81"/>
            <rFont val="Tahoma"/>
            <family val="2"/>
          </rPr>
          <t>Activities such as familiarisation with instrument, reading and understanding manuals, setting up equipment, checking documentation and identifying approval requirements for submission.</t>
        </r>
        <r>
          <rPr>
            <sz val="8"/>
            <color indexed="81"/>
            <rFont val="Tahoma"/>
            <family val="2"/>
          </rPr>
          <t xml:space="preserve">
</t>
        </r>
      </text>
    </comment>
    <comment ref="E10" authorId="0" shapeId="0" xr:uid="{00000000-0006-0000-0500-000003000000}">
      <text>
        <r>
          <rPr>
            <b/>
            <sz val="9"/>
            <color indexed="81"/>
            <rFont val="Tahoma"/>
            <family val="2"/>
          </rPr>
          <t>Author:</t>
        </r>
        <r>
          <rPr>
            <sz val="9"/>
            <color indexed="81"/>
            <rFont val="Tahoma"/>
            <family val="2"/>
          </rPr>
          <t xml:space="preserve">
see key below</t>
        </r>
      </text>
    </comment>
    <comment ref="A11" authorId="0" shapeId="0" xr:uid="{00000000-0006-0000-0500-000004000000}">
      <text>
        <r>
          <rPr>
            <b/>
            <sz val="8"/>
            <color indexed="81"/>
            <rFont val="Tahoma"/>
            <family val="2"/>
          </rPr>
          <t xml:space="preserve">Covers all testing specified in the NMI’s documents for the pattern and carried out at reference conditions, for example at 20°C and 240 volts.
For a weighing instrument this includes linearity, hysteresis, repeatability, eccentricity, discrimination, zero return, creep, tilt etc. For a flowmeter it includes linearity, repeatability, effect of different liquids (viscosities), gas elimination, hose dilation, different densities etc.
It doe not include additional tests needed for variants. These are charged as extra tests under EXT. Also it does not include tests covered specifically by other categories, for example temperature tests (TT).
</t>
        </r>
        <r>
          <rPr>
            <sz val="8"/>
            <color indexed="81"/>
            <rFont val="Tahoma"/>
            <family val="2"/>
          </rPr>
          <t xml:space="preserve">
</t>
        </r>
      </text>
    </comment>
    <comment ref="A12" authorId="0" shapeId="0" xr:uid="{00000000-0006-0000-0500-000005000000}">
      <text>
        <r>
          <rPr>
            <b/>
            <sz val="8"/>
            <color indexed="81"/>
            <rFont val="Tahoma"/>
            <family val="2"/>
          </rPr>
          <t>Covers the examination of an instrument for compliance with specific requirements.</t>
        </r>
        <r>
          <rPr>
            <sz val="8"/>
            <color indexed="81"/>
            <rFont val="Tahoma"/>
            <family val="2"/>
          </rPr>
          <t xml:space="preserve">
</t>
        </r>
      </text>
    </comment>
    <comment ref="A13" authorId="0" shapeId="0" xr:uid="{00000000-0006-0000-0500-000006000000}">
      <text>
        <r>
          <rPr>
            <b/>
            <sz val="8"/>
            <color indexed="81"/>
            <rFont val="Tahoma"/>
            <family val="2"/>
          </rPr>
          <t>Covers the evaluation of the submission/test results and the preparation of an examination report.</t>
        </r>
        <r>
          <rPr>
            <sz val="8"/>
            <color indexed="81"/>
            <rFont val="Tahoma"/>
            <family val="2"/>
          </rPr>
          <t xml:space="preserve">
</t>
        </r>
      </text>
    </comment>
    <comment ref="A14" authorId="0" shapeId="0" xr:uid="{00000000-0006-0000-0500-000007000000}">
      <text>
        <r>
          <rPr>
            <b/>
            <sz val="8"/>
            <color indexed="81"/>
            <rFont val="Tahoma"/>
            <family val="2"/>
          </rPr>
          <t>Covers the preparation of the certificate and technical schedule.</t>
        </r>
        <r>
          <rPr>
            <sz val="8"/>
            <color indexed="81"/>
            <rFont val="Tahoma"/>
            <family val="2"/>
          </rPr>
          <t xml:space="preserve">
</t>
        </r>
      </text>
    </comment>
    <comment ref="A15" authorId="0" shapeId="0" xr:uid="{00000000-0006-0000-0500-000008000000}">
      <text>
        <r>
          <rPr>
            <b/>
            <sz val="8"/>
            <color indexed="81"/>
            <rFont val="Tahoma"/>
            <family val="2"/>
          </rPr>
          <t xml:space="preserve">Covers tests carried out at five temperatures. </t>
        </r>
      </text>
    </comment>
    <comment ref="A16" authorId="0" shapeId="0" xr:uid="{00000000-0006-0000-0500-000009000000}">
      <text>
        <r>
          <rPr>
            <b/>
            <sz val="8"/>
            <color indexed="81"/>
            <rFont val="Tahoma"/>
            <family val="2"/>
          </rPr>
          <t>Covers a ~5 day weighing and ~2day volume humidity test.</t>
        </r>
      </text>
    </comment>
    <comment ref="A17" authorId="0" shapeId="0" xr:uid="{00000000-0006-0000-0500-00000A000000}">
      <text>
        <r>
          <rPr>
            <b/>
            <sz val="8"/>
            <color indexed="81"/>
            <rFont val="Tahoma"/>
            <family val="2"/>
          </rPr>
          <t>Covers 12 day cyclic humidity test where applicable.</t>
        </r>
        <r>
          <rPr>
            <sz val="8"/>
            <color indexed="81"/>
            <rFont val="Tahoma"/>
            <family val="2"/>
          </rPr>
          <t xml:space="preserve">
</t>
        </r>
      </text>
    </comment>
    <comment ref="A18" authorId="0" shapeId="0" xr:uid="{00000000-0006-0000-0500-00000B000000}">
      <text>
        <r>
          <rPr>
            <b/>
            <sz val="8"/>
            <color indexed="81"/>
            <rFont val="Tahoma"/>
            <family val="2"/>
          </rPr>
          <t>Covers tests for voltage variation.</t>
        </r>
        <r>
          <rPr>
            <sz val="8"/>
            <color indexed="81"/>
            <rFont val="Tahoma"/>
            <family val="2"/>
          </rPr>
          <t xml:space="preserve">
</t>
        </r>
      </text>
    </comment>
    <comment ref="A19" authorId="0" shapeId="0" xr:uid="{00000000-0006-0000-0500-00000C000000}">
      <text>
        <r>
          <rPr>
            <b/>
            <sz val="8"/>
            <color indexed="81"/>
            <rFont val="Tahoma"/>
            <family val="2"/>
          </rPr>
          <t>Covers tests for disturbances on the power and communication cables.</t>
        </r>
        <r>
          <rPr>
            <sz val="8"/>
            <color indexed="81"/>
            <rFont val="Tahoma"/>
            <family val="2"/>
          </rPr>
          <t xml:space="preserve">
</t>
        </r>
      </text>
    </comment>
    <comment ref="A20" authorId="0" shapeId="0" xr:uid="{00000000-0006-0000-0500-00000D000000}">
      <text>
        <r>
          <rPr>
            <b/>
            <sz val="8"/>
            <color indexed="81"/>
            <rFont val="Tahoma"/>
            <family val="2"/>
          </rPr>
          <t>Covers surge testing.</t>
        </r>
        <r>
          <rPr>
            <sz val="8"/>
            <color indexed="81"/>
            <rFont val="Tahoma"/>
            <family val="2"/>
          </rPr>
          <t xml:space="preserve">
</t>
        </r>
      </text>
    </comment>
    <comment ref="A21" authorId="0" shapeId="0" xr:uid="{00000000-0006-0000-0500-00000E000000}">
      <text>
        <r>
          <rPr>
            <b/>
            <sz val="8"/>
            <color indexed="81"/>
            <rFont val="Tahoma"/>
            <family val="2"/>
          </rPr>
          <t>Covers tests for electrostatic discharge.</t>
        </r>
        <r>
          <rPr>
            <sz val="8"/>
            <color indexed="81"/>
            <rFont val="Tahoma"/>
            <family val="2"/>
          </rPr>
          <t xml:space="preserve">
</t>
        </r>
      </text>
    </comment>
    <comment ref="A22" authorId="0" shapeId="0" xr:uid="{00000000-0006-0000-0500-00000F000000}">
      <text>
        <r>
          <rPr>
            <b/>
            <sz val="8"/>
            <color indexed="81"/>
            <rFont val="Tahoma"/>
            <family val="2"/>
          </rPr>
          <t>Covers tests for the effect of electromagnetic interference upto 1GHz.</t>
        </r>
        <r>
          <rPr>
            <sz val="8"/>
            <color indexed="81"/>
            <rFont val="Tahoma"/>
            <family val="2"/>
          </rPr>
          <t xml:space="preserve">
</t>
        </r>
      </text>
    </comment>
    <comment ref="A23" authorId="0" shapeId="0" xr:uid="{00000000-0006-0000-0500-000010000000}">
      <text>
        <r>
          <rPr>
            <b/>
            <sz val="8"/>
            <color indexed="81"/>
            <rFont val="Tahoma"/>
            <family val="2"/>
          </rPr>
          <t>Covers tests for the effect of high frequency electromagnetic interference.</t>
        </r>
        <r>
          <rPr>
            <sz val="8"/>
            <color indexed="81"/>
            <rFont val="Tahoma"/>
            <family val="2"/>
          </rPr>
          <t xml:space="preserve">
</t>
        </r>
      </text>
    </comment>
    <comment ref="A34" authorId="0" shapeId="0" xr:uid="{00000000-0006-0000-0500-000011000000}">
      <text>
        <r>
          <rPr>
            <b/>
            <sz val="8"/>
            <color indexed="81"/>
            <rFont val="Tahoma"/>
            <family val="2"/>
          </rPr>
          <t>Covers tests for span stability and endurance/reliability. Excluding flowmetering equipment listed.</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9" authorId="0" shapeId="0" xr:uid="{00000000-0006-0000-0600-000001000000}">
      <text>
        <r>
          <rPr>
            <b/>
            <sz val="8"/>
            <color indexed="81"/>
            <rFont val="Tahoma"/>
            <family val="2"/>
          </rPr>
          <t>Work involved in liaising with applicants, opening and processing an application.</t>
        </r>
      </text>
    </comment>
    <comment ref="A10" authorId="0" shapeId="0" xr:uid="{00000000-0006-0000-0600-000002000000}">
      <text>
        <r>
          <rPr>
            <b/>
            <sz val="8"/>
            <color indexed="81"/>
            <rFont val="Tahoma"/>
            <family val="2"/>
          </rPr>
          <t>Activities such as familiarisation with instrument, reading and understanding manuals, setting up equipment, checking documentation and identifying approval requirements for submission.</t>
        </r>
        <r>
          <rPr>
            <sz val="8"/>
            <color indexed="81"/>
            <rFont val="Tahoma"/>
            <family val="2"/>
          </rPr>
          <t xml:space="preserve">
</t>
        </r>
      </text>
    </comment>
    <comment ref="E10" authorId="0" shapeId="0" xr:uid="{00000000-0006-0000-0600-000003000000}">
      <text>
        <r>
          <rPr>
            <b/>
            <sz val="9"/>
            <color indexed="81"/>
            <rFont val="Tahoma"/>
            <family val="2"/>
          </rPr>
          <t>Author:</t>
        </r>
        <r>
          <rPr>
            <sz val="9"/>
            <color indexed="81"/>
            <rFont val="Tahoma"/>
            <family val="2"/>
          </rPr>
          <t xml:space="preserve">
see key below</t>
        </r>
      </text>
    </comment>
    <comment ref="A11" authorId="0" shapeId="0" xr:uid="{00000000-0006-0000-0600-000004000000}">
      <text>
        <r>
          <rPr>
            <b/>
            <sz val="8"/>
            <color indexed="81"/>
            <rFont val="Tahoma"/>
            <family val="2"/>
          </rPr>
          <t xml:space="preserve">Covers all testing specified in the NMI’s documents for the pattern and carried out at reference conditions, for example at 20°C and 240 volts.
For a weighing instrument this includes linearity, hysteresis, repeatability, eccentricity, discrimination, zero return, creep, tilt etc. For a flowmeter it includes linearity, repeatability, effect of different liquids (viscosities), gas elimination, hose dilation, different densities etc.
It doe not include additional tests needed for variants. These are charged as extra tests under EXT. Also it does not include tests covered specifically by other categories, for example temperature tests (TT).
</t>
        </r>
        <r>
          <rPr>
            <sz val="8"/>
            <color indexed="81"/>
            <rFont val="Tahoma"/>
            <family val="2"/>
          </rPr>
          <t xml:space="preserve">
</t>
        </r>
      </text>
    </comment>
    <comment ref="A12" authorId="0" shapeId="0" xr:uid="{00000000-0006-0000-0600-000005000000}">
      <text>
        <r>
          <rPr>
            <b/>
            <sz val="8"/>
            <color indexed="81"/>
            <rFont val="Tahoma"/>
            <family val="2"/>
          </rPr>
          <t>Covers the examination of an instrument for compliance with specific requirements.</t>
        </r>
        <r>
          <rPr>
            <sz val="8"/>
            <color indexed="81"/>
            <rFont val="Tahoma"/>
            <family val="2"/>
          </rPr>
          <t xml:space="preserve">
</t>
        </r>
      </text>
    </comment>
    <comment ref="A13" authorId="0" shapeId="0" xr:uid="{00000000-0006-0000-0600-000006000000}">
      <text>
        <r>
          <rPr>
            <b/>
            <sz val="8"/>
            <color indexed="81"/>
            <rFont val="Tahoma"/>
            <family val="2"/>
          </rPr>
          <t>Covers the evaluation of the submission/test results and the preparation of an examination report.</t>
        </r>
        <r>
          <rPr>
            <sz val="8"/>
            <color indexed="81"/>
            <rFont val="Tahoma"/>
            <family val="2"/>
          </rPr>
          <t xml:space="preserve">
</t>
        </r>
      </text>
    </comment>
    <comment ref="A14" authorId="0" shapeId="0" xr:uid="{00000000-0006-0000-0600-000007000000}">
      <text>
        <r>
          <rPr>
            <b/>
            <sz val="8"/>
            <color indexed="81"/>
            <rFont val="Tahoma"/>
            <family val="2"/>
          </rPr>
          <t>Covers the preparation of the certificate and technical schedule.</t>
        </r>
        <r>
          <rPr>
            <sz val="8"/>
            <color indexed="81"/>
            <rFont val="Tahoma"/>
            <family val="2"/>
          </rPr>
          <t xml:space="preserve">
</t>
        </r>
      </text>
    </comment>
    <comment ref="A15" authorId="0" shapeId="0" xr:uid="{00000000-0006-0000-0600-000008000000}">
      <text>
        <r>
          <rPr>
            <b/>
            <sz val="8"/>
            <color indexed="81"/>
            <rFont val="Tahoma"/>
            <family val="2"/>
          </rPr>
          <t xml:space="preserve">Covers tests carried out at five temperatures. </t>
        </r>
      </text>
    </comment>
    <comment ref="A16" authorId="0" shapeId="0" xr:uid="{00000000-0006-0000-0600-000009000000}">
      <text>
        <r>
          <rPr>
            <b/>
            <sz val="8"/>
            <color indexed="81"/>
            <rFont val="Tahoma"/>
            <family val="2"/>
          </rPr>
          <t>Covers a ~5 day weighing and ~2day volume humidity test.</t>
        </r>
      </text>
    </comment>
    <comment ref="A17" authorId="0" shapeId="0" xr:uid="{00000000-0006-0000-0600-00000A000000}">
      <text>
        <r>
          <rPr>
            <b/>
            <sz val="8"/>
            <color indexed="81"/>
            <rFont val="Tahoma"/>
            <family val="2"/>
          </rPr>
          <t>Covers 12 day cyclic humidity test where applicable.</t>
        </r>
        <r>
          <rPr>
            <sz val="8"/>
            <color indexed="81"/>
            <rFont val="Tahoma"/>
            <family val="2"/>
          </rPr>
          <t xml:space="preserve">
</t>
        </r>
      </text>
    </comment>
    <comment ref="A18" authorId="0" shapeId="0" xr:uid="{00000000-0006-0000-0600-00000B000000}">
      <text>
        <r>
          <rPr>
            <b/>
            <sz val="8"/>
            <color indexed="81"/>
            <rFont val="Tahoma"/>
            <family val="2"/>
          </rPr>
          <t>Covers tests for voltage variation.</t>
        </r>
        <r>
          <rPr>
            <sz val="8"/>
            <color indexed="81"/>
            <rFont val="Tahoma"/>
            <family val="2"/>
          </rPr>
          <t xml:space="preserve">
</t>
        </r>
      </text>
    </comment>
    <comment ref="A19" authorId="0" shapeId="0" xr:uid="{00000000-0006-0000-0600-00000C000000}">
      <text>
        <r>
          <rPr>
            <b/>
            <sz val="8"/>
            <color indexed="81"/>
            <rFont val="Tahoma"/>
            <family val="2"/>
          </rPr>
          <t>Covers tests for disturbances on the power and communication cables.</t>
        </r>
        <r>
          <rPr>
            <sz val="8"/>
            <color indexed="81"/>
            <rFont val="Tahoma"/>
            <family val="2"/>
          </rPr>
          <t xml:space="preserve">
</t>
        </r>
      </text>
    </comment>
    <comment ref="A20" authorId="0" shapeId="0" xr:uid="{00000000-0006-0000-0600-00000D000000}">
      <text>
        <r>
          <rPr>
            <b/>
            <sz val="8"/>
            <color indexed="81"/>
            <rFont val="Tahoma"/>
            <family val="2"/>
          </rPr>
          <t>Covers surge testing.</t>
        </r>
        <r>
          <rPr>
            <sz val="8"/>
            <color indexed="81"/>
            <rFont val="Tahoma"/>
            <family val="2"/>
          </rPr>
          <t xml:space="preserve">
</t>
        </r>
      </text>
    </comment>
    <comment ref="A21" authorId="0" shapeId="0" xr:uid="{00000000-0006-0000-0600-00000E000000}">
      <text>
        <r>
          <rPr>
            <b/>
            <sz val="8"/>
            <color indexed="81"/>
            <rFont val="Tahoma"/>
            <family val="2"/>
          </rPr>
          <t>Covers tests for electrostatic discharge.</t>
        </r>
        <r>
          <rPr>
            <sz val="8"/>
            <color indexed="81"/>
            <rFont val="Tahoma"/>
            <family val="2"/>
          </rPr>
          <t xml:space="preserve">
</t>
        </r>
      </text>
    </comment>
    <comment ref="A22" authorId="0" shapeId="0" xr:uid="{00000000-0006-0000-0600-00000F000000}">
      <text>
        <r>
          <rPr>
            <b/>
            <sz val="8"/>
            <color indexed="81"/>
            <rFont val="Tahoma"/>
            <family val="2"/>
          </rPr>
          <t>Covers tests for the effect of electromagnetic interference upto 1GHz.</t>
        </r>
        <r>
          <rPr>
            <sz val="8"/>
            <color indexed="81"/>
            <rFont val="Tahoma"/>
            <family val="2"/>
          </rPr>
          <t xml:space="preserve">
</t>
        </r>
      </text>
    </comment>
    <comment ref="A23" authorId="0" shapeId="0" xr:uid="{00000000-0006-0000-0600-000010000000}">
      <text>
        <r>
          <rPr>
            <b/>
            <sz val="8"/>
            <color indexed="81"/>
            <rFont val="Tahoma"/>
            <family val="2"/>
          </rPr>
          <t>Covers tests for the effect of high frequency electromagnetic interference.</t>
        </r>
        <r>
          <rPr>
            <sz val="8"/>
            <color indexed="81"/>
            <rFont val="Tahoma"/>
            <family val="2"/>
          </rPr>
          <t xml:space="preserve">
</t>
        </r>
      </text>
    </comment>
    <comment ref="A34" authorId="0" shapeId="0" xr:uid="{00000000-0006-0000-0600-000011000000}">
      <text>
        <r>
          <rPr>
            <b/>
            <sz val="8"/>
            <color indexed="81"/>
            <rFont val="Tahoma"/>
            <family val="2"/>
          </rPr>
          <t>Covers tests for span stability and endurance/reliability. Excluding flowmetering equipment listed.</t>
        </r>
        <r>
          <rPr>
            <sz val="8"/>
            <color indexed="81"/>
            <rFont val="Tahoma"/>
            <family val="2"/>
          </rPr>
          <t xml:space="preserve">
</t>
        </r>
      </text>
    </comment>
  </commentList>
</comments>
</file>

<file path=xl/sharedStrings.xml><?xml version="1.0" encoding="utf-8"?>
<sst xmlns="http://schemas.openxmlformats.org/spreadsheetml/2006/main" count="578" uniqueCount="129">
  <si>
    <t>Level 1</t>
  </si>
  <si>
    <t>Level 2</t>
  </si>
  <si>
    <t>Level 3</t>
  </si>
  <si>
    <t>AP</t>
  </si>
  <si>
    <t>AA</t>
  </si>
  <si>
    <t>IP</t>
  </si>
  <si>
    <t>TT</t>
  </si>
  <si>
    <t>Temperature test</t>
  </si>
  <si>
    <t>HU</t>
  </si>
  <si>
    <t>Humidity test</t>
  </si>
  <si>
    <t>VT</t>
  </si>
  <si>
    <t>Voltage test</t>
  </si>
  <si>
    <t>LB</t>
  </si>
  <si>
    <t>Line-borne interference test</t>
  </si>
  <si>
    <t>SD</t>
  </si>
  <si>
    <t>Static discharge test</t>
  </si>
  <si>
    <t>EMS</t>
  </si>
  <si>
    <t>Electromagnetic susceptibility tests</t>
  </si>
  <si>
    <t>ESS</t>
  </si>
  <si>
    <t>CHK</t>
  </si>
  <si>
    <t>Checklist</t>
  </si>
  <si>
    <t>SR</t>
  </si>
  <si>
    <t>CP</t>
  </si>
  <si>
    <t>Certificate preparation</t>
  </si>
  <si>
    <t>Endurance tests</t>
  </si>
  <si>
    <t>Fee</t>
  </si>
  <si>
    <t>Hours</t>
  </si>
  <si>
    <t>Hourly Rate</t>
  </si>
  <si>
    <t>MS</t>
  </si>
  <si>
    <t>Mechanical Shock</t>
  </si>
  <si>
    <t>*</t>
  </si>
  <si>
    <t>ME</t>
  </si>
  <si>
    <t>Magnetic Effect</t>
  </si>
  <si>
    <t>HC</t>
  </si>
  <si>
    <t>Hydrocarbons</t>
  </si>
  <si>
    <t>SF</t>
  </si>
  <si>
    <t>Supply Frequency</t>
  </si>
  <si>
    <t>HTS</t>
  </si>
  <si>
    <t>DHC</t>
  </si>
  <si>
    <t>Damp Heat Cyclic</t>
  </si>
  <si>
    <t>DCP</t>
  </si>
  <si>
    <t>DC Power Supply</t>
  </si>
  <si>
    <t>DCR</t>
  </si>
  <si>
    <t>Ripple on DC</t>
  </si>
  <si>
    <t>VIB</t>
  </si>
  <si>
    <t>Vibration</t>
  </si>
  <si>
    <t>DB</t>
  </si>
  <si>
    <t>Durability</t>
  </si>
  <si>
    <t>High Temperatuer Storage</t>
  </si>
  <si>
    <t>KEY</t>
  </si>
  <si>
    <t>The fees are charged on a modular basis, where the fee for each module is dependent on the type and complexity of the instrument.</t>
  </si>
  <si>
    <t>Testing modules are fixed fee and assessment modules attract a fee based on the number of hours to complete the module.</t>
  </si>
  <si>
    <t>How to use this spreadsheet</t>
  </si>
  <si>
    <t>This spreadsheet may be used to estimate the cost of a pattern approval application.</t>
  </si>
  <si>
    <t>Use the "Fee Estimate" tab to estimate the fees for this level.</t>
  </si>
  <si>
    <t>Fees for pattern approval are GST free.</t>
  </si>
  <si>
    <t xml:space="preserve">This spreadsheet is provided for ease of use only. The Pattern Approval Fees are prescribed in Schedule 13 of the National Measurement Regulations, these regulations should be referred to for up to date fee information. </t>
  </si>
  <si>
    <t>single product fuel dispensers (except for use with gaseous products)</t>
  </si>
  <si>
    <t>other flowmetering systems</t>
  </si>
  <si>
    <t>multi-product dispensers</t>
  </si>
  <si>
    <t>single product dispensers for use with gaseous products</t>
  </si>
  <si>
    <t>EMHF</t>
  </si>
  <si>
    <t>Use the "Fee Level Selection" tab to determine the appropriate level for the type of instrument you have, remember to take account of any variants that you may wish to have approved at the same time as this may change the costs.</t>
  </si>
  <si>
    <t>class 3, 200 kg platform scale with no previous OIML testing carried out, would be assessed as a Weighing and Dimensional instrument Level 2.</t>
  </si>
  <si>
    <t>e.g.</t>
  </si>
  <si>
    <t>Alternatively contact pattern approval (pattern.approval@measurement.gov.au), with a brief description of your instrument, for a cost estimate.</t>
  </si>
  <si>
    <t>module not applicable to this instrument type</t>
  </si>
  <si>
    <t>CHU</t>
  </si>
  <si>
    <t>Cyclic Humidity test</t>
  </si>
  <si>
    <t>SUR</t>
  </si>
  <si>
    <t>Surges</t>
  </si>
  <si>
    <t>mass flowmetering systems (excluding liquefied petroleum gas);</t>
  </si>
  <si>
    <t>Note:</t>
  </si>
  <si>
    <t>For the following types of instruments, the 100hrs endurance test may be included in the IP at an additonal cost:</t>
  </si>
  <si>
    <t>TOTAL</t>
  </si>
  <si>
    <t>cost of third party provider plus associated administration at normal hourly rate</t>
  </si>
  <si>
    <t>Modules that appear in green will attract a fee based on the number of hours spent carrying out the assessment. The table indicates an estimate of the number hours required to complete a module.</t>
  </si>
  <si>
    <t>Consultations, peformance and other test are charged at normal hourly rate.</t>
  </si>
  <si>
    <t xml:space="preserve">Summary report </t>
  </si>
  <si>
    <t>Application processing</t>
  </si>
  <si>
    <t>Application assessment</t>
  </si>
  <si>
    <t>Instrument performance</t>
  </si>
  <si>
    <t>Service Type</t>
  </si>
  <si>
    <t>NMI Code</t>
  </si>
  <si>
    <t>Yes</t>
  </si>
  <si>
    <t>No</t>
  </si>
  <si>
    <t>Service Required</t>
  </si>
  <si>
    <r>
      <rPr>
        <b/>
        <sz val="10"/>
        <rFont val="Calibri"/>
        <family val="2"/>
      </rPr>
      <t>●</t>
    </r>
    <r>
      <rPr>
        <b/>
        <sz val="8"/>
        <rFont val="Cambria"/>
        <family val="1"/>
      </rPr>
      <t xml:space="preserve"> </t>
    </r>
    <r>
      <rPr>
        <b/>
        <sz val="10"/>
        <rFont val="Cambria"/>
        <family val="1"/>
        <scheme val="major"/>
      </rPr>
      <t xml:space="preserve">simple mechanical liquor measures or dispensers
</t>
    </r>
    <r>
      <rPr>
        <b/>
        <sz val="10"/>
        <rFont val="Calibri"/>
        <family val="2"/>
      </rPr>
      <t>●</t>
    </r>
    <r>
      <rPr>
        <b/>
        <sz val="8"/>
        <rFont val="Cambria"/>
        <family val="1"/>
      </rPr>
      <t xml:space="preserve"> </t>
    </r>
    <r>
      <rPr>
        <b/>
        <sz val="10"/>
        <rFont val="Cambria"/>
        <family val="1"/>
        <scheme val="major"/>
      </rPr>
      <t>simple mechanical indicators or counters for flow
●  fuel dispenser consoles (excluding computer-based systems)
●  pulse counters and pulse generators</t>
    </r>
  </si>
  <si>
    <t xml:space="preserve">● simple electronic and multi-liquor measuring systems
● single product fuel dispensers (except for use with gaseous products)
● tank level gauges (excluding volume conversion and correction devices)
● computer operated consoles for fuel dispensers
● electronic flowmeter indicators or calculators
● mass flowmetering systems (excluding liquefied petroleum gas)
</t>
  </si>
  <si>
    <t>● milk metering systems
● other flowmetering systems
● controllers and calculator-indicators with conversion, linearisation or correction functions for flow
● single product dispensers for use with gaseous products
● multi-product dispensers</t>
  </si>
  <si>
    <t>Selected Service Fee</t>
  </si>
  <si>
    <t>Weighing &amp; Dimensional</t>
  </si>
  <si>
    <r>
      <rPr>
        <b/>
        <sz val="10"/>
        <rFont val="Calibri"/>
        <family val="2"/>
      </rPr>
      <t>●</t>
    </r>
    <r>
      <rPr>
        <b/>
        <sz val="8"/>
        <rFont val="Cambria"/>
        <family val="1"/>
      </rPr>
      <t xml:space="preserve"> </t>
    </r>
    <r>
      <rPr>
        <b/>
        <sz val="10"/>
        <rFont val="Cambria"/>
        <family val="1"/>
        <scheme val="major"/>
      </rPr>
      <t xml:space="preserve">class 3 and 4 weighing instruments with capacity of up to 100kg
</t>
    </r>
    <r>
      <rPr>
        <b/>
        <sz val="10"/>
        <rFont val="Calibri"/>
        <family val="2"/>
      </rPr>
      <t>●</t>
    </r>
    <r>
      <rPr>
        <b/>
        <sz val="8"/>
        <rFont val="Cambria"/>
        <family val="1"/>
      </rPr>
      <t xml:space="preserve"> simple instruments for weighing or dimensional measurement</t>
    </r>
    <r>
      <rPr>
        <b/>
        <sz val="10"/>
        <rFont val="Cambria"/>
        <family val="1"/>
        <scheme val="major"/>
      </rPr>
      <t xml:space="preserve">
</t>
    </r>
  </si>
  <si>
    <t>● class 2 non-automatic weighing instruments
● class 3 and 4 non-automatic with capacity of more than 100 kg and less than 600 kg
●baseworks for non-automatic weighing instruments with a capacity of 600 kg or more
●load cells, simple indicators with no linearisation
● overhead-track weighing instruments
● semi-automatic multi-dimensional measuring instruments
● static wheel weighers, length &amp; area measuring instruments</t>
  </si>
  <si>
    <t>●belt weighers
● other flowmetering systems
● weighing-in-motion systems for trains and road vehicles
● catchweighers
● totalising hopper weighers
● class 1 weighing instrument
●controllers and indicators with conversion or linearisation fuctions
● automatic multi-dimensional measuring  instruments dimensional  ● any other weighing or dimensional not mentioned</t>
  </si>
  <si>
    <r>
      <t xml:space="preserve">               </t>
    </r>
    <r>
      <rPr>
        <b/>
        <sz val="14"/>
        <rFont val="Cambria"/>
        <family val="1"/>
        <scheme val="major"/>
      </rPr>
      <t>Grain Protein</t>
    </r>
  </si>
  <si>
    <t xml:space="preserve">Fee </t>
  </si>
  <si>
    <t xml:space="preserve">Hours </t>
  </si>
  <si>
    <t>Hourly rates for use of equipment, where applicable (Schedule 13, item 14)</t>
  </si>
  <si>
    <t/>
  </si>
  <si>
    <t>LARLOA</t>
  </si>
  <si>
    <t>Large load cell facility</t>
  </si>
  <si>
    <t>/hour</t>
  </si>
  <si>
    <t>SMALOA</t>
  </si>
  <si>
    <t>Small load cell facility</t>
  </si>
  <si>
    <t>LIQHYD</t>
  </si>
  <si>
    <t>Liquid hydrocarbons test facility</t>
  </si>
  <si>
    <t>LPG</t>
  </si>
  <si>
    <t>Liquified petroleum gas test facility</t>
  </si>
  <si>
    <t>CNG</t>
  </si>
  <si>
    <t>Compresses natural gas test facility</t>
  </si>
  <si>
    <t>TEMP</t>
  </si>
  <si>
    <t>Temperature controlled chamber</t>
  </si>
  <si>
    <t>HUM</t>
  </si>
  <si>
    <t>Humidity test chamber</t>
  </si>
  <si>
    <t>REL</t>
  </si>
  <si>
    <t>Reliability test equipment</t>
  </si>
  <si>
    <t>LINBOR</t>
  </si>
  <si>
    <t>Line-borne interference test equipment</t>
  </si>
  <si>
    <t>EMST</t>
  </si>
  <si>
    <t>Electromagnetic susceptibility test chamber</t>
  </si>
  <si>
    <t>ESDT</t>
  </si>
  <si>
    <t>Electromagnetic discharge test equip.</t>
  </si>
  <si>
    <r>
      <t xml:space="preserve">             </t>
    </r>
    <r>
      <rPr>
        <b/>
        <sz val="14"/>
        <rFont val="Cambria"/>
        <family val="1"/>
        <scheme val="major"/>
      </rPr>
      <t xml:space="preserve">   Evidential Breath Analysers</t>
    </r>
  </si>
  <si>
    <r>
      <t xml:space="preserve">             </t>
    </r>
    <r>
      <rPr>
        <b/>
        <sz val="14"/>
        <rFont val="Cambria"/>
        <family val="1"/>
        <scheme val="major"/>
      </rPr>
      <t xml:space="preserve">   Utility Meters</t>
    </r>
  </si>
  <si>
    <t xml:space="preserve">       Point Of Sale System (POS)</t>
  </si>
  <si>
    <t>Volume Measuring</t>
  </si>
  <si>
    <t>Weighing and Dimensional instrument, Level 2 - total estimate $64,655</t>
  </si>
  <si>
    <t>Pattern Approval Fees - 2025-2026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</si>
</sst>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0.0"/>
    <numFmt numFmtId="165" formatCode="&quot;$&quot;#,##0"/>
    <numFmt numFmtId="166" formatCode="&quot;$&quot;#,##0.00"/>
  </numFmts>
  <fonts count="28" x14ac:knownFonts="1">
    <font>
      <sz val="10"/>
      <name val="Arial"/>
    </font>
    <font>
      <sz val="10"/>
      <color indexed="10"/>
      <name val="Arial"/>
      <family val="2"/>
    </font>
    <font>
      <b/>
      <sz val="8"/>
      <color indexed="81"/>
      <name val="Tahoma"/>
      <family val="2"/>
    </font>
    <font>
      <sz val="8"/>
      <color indexed="81"/>
      <name val="Tahoma"/>
      <family val="2"/>
    </font>
    <font>
      <sz val="8"/>
      <name val="Arial"/>
      <family val="2"/>
    </font>
    <font>
      <u/>
      <sz val="7"/>
      <color indexed="12"/>
      <name val="Arial"/>
      <family val="2"/>
    </font>
    <font>
      <sz val="10"/>
      <name val="Arial"/>
      <family val="2"/>
    </font>
    <font>
      <sz val="10"/>
      <name val="Cambria"/>
      <family val="1"/>
      <scheme val="major"/>
    </font>
    <font>
      <b/>
      <sz val="10"/>
      <name val="Cambria"/>
      <family val="1"/>
      <scheme val="major"/>
    </font>
    <font>
      <sz val="8"/>
      <name val="Cambria"/>
      <family val="1"/>
      <scheme val="major"/>
    </font>
    <font>
      <sz val="8"/>
      <color theme="6"/>
      <name val="Cambria"/>
      <family val="1"/>
      <scheme val="major"/>
    </font>
    <font>
      <sz val="10"/>
      <color theme="6"/>
      <name val="Cambria"/>
      <family val="1"/>
      <scheme val="major"/>
    </font>
    <font>
      <sz val="10"/>
      <color indexed="10"/>
      <name val="Cambria"/>
      <family val="1"/>
      <scheme val="major"/>
    </font>
    <font>
      <b/>
      <sz val="12"/>
      <name val="Cambria"/>
      <family val="1"/>
      <scheme val="major"/>
    </font>
    <font>
      <b/>
      <sz val="10"/>
      <color theme="1"/>
      <name val="Cambria"/>
      <family val="1"/>
      <scheme val="major"/>
    </font>
    <font>
      <b/>
      <sz val="14"/>
      <name val="Cambria"/>
      <family val="1"/>
      <scheme val="major"/>
    </font>
    <font>
      <b/>
      <sz val="10"/>
      <name val="Calibri"/>
      <family val="2"/>
    </font>
    <font>
      <b/>
      <sz val="8"/>
      <name val="Cambria"/>
      <family val="1"/>
    </font>
    <font>
      <sz val="10"/>
      <color theme="2" tint="-0.249977111117893"/>
      <name val="Cambria"/>
      <family val="1"/>
      <scheme val="major"/>
    </font>
    <font>
      <sz val="12"/>
      <name val="Arial"/>
      <family val="2"/>
    </font>
    <font>
      <sz val="14"/>
      <name val="Cambria"/>
      <family val="1"/>
      <scheme val="major"/>
    </font>
    <font>
      <sz val="9"/>
      <color indexed="81"/>
      <name val="Tahoma"/>
      <family val="2"/>
    </font>
    <font>
      <b/>
      <sz val="9"/>
      <color indexed="81"/>
      <name val="Tahoma"/>
      <family val="2"/>
    </font>
    <font>
      <b/>
      <sz val="10"/>
      <name val="Arial"/>
      <family val="2"/>
    </font>
    <font>
      <sz val="12"/>
      <name val="Cambria"/>
      <family val="1"/>
      <scheme val="major"/>
    </font>
    <font>
      <u/>
      <sz val="10"/>
      <color indexed="12"/>
      <name val="Arial"/>
      <family val="2"/>
    </font>
    <font>
      <sz val="10"/>
      <color rgb="FF92D050"/>
      <name val="Cambria"/>
      <family val="1"/>
      <scheme val="major"/>
    </font>
    <font>
      <sz val="8"/>
      <color rgb="FF92D050"/>
      <name val="Cambria"/>
      <family val="1"/>
      <scheme val="major"/>
    </font>
  </fonts>
  <fills count="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92D05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theme="5"/>
      </right>
      <top/>
      <bottom/>
      <diagonal/>
    </border>
    <border>
      <left/>
      <right/>
      <top/>
      <bottom style="hair">
        <color theme="5"/>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hair">
        <color theme="5"/>
      </right>
      <top/>
      <bottom style="medium">
        <color indexed="64"/>
      </bottom>
      <diagonal/>
    </border>
    <border>
      <left/>
      <right/>
      <top/>
      <bottom style="medium">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44" fontId="6" fillId="0" borderId="0" applyFont="0" applyFill="0" applyBorder="0" applyAlignment="0" applyProtection="0"/>
  </cellStyleXfs>
  <cellXfs count="145">
    <xf numFmtId="0" fontId="0" fillId="0" borderId="0" xfId="0"/>
    <xf numFmtId="0" fontId="1" fillId="0" borderId="0" xfId="0" applyFont="1"/>
    <xf numFmtId="0" fontId="0" fillId="0" borderId="0" xfId="0" applyAlignment="1">
      <alignment wrapText="1"/>
    </xf>
    <xf numFmtId="0" fontId="0" fillId="0" borderId="0" xfId="0" applyAlignment="1"/>
    <xf numFmtId="0" fontId="0" fillId="0" borderId="0" xfId="0" applyBorder="1"/>
    <xf numFmtId="0" fontId="6" fillId="0" borderId="0" xfId="0" applyFont="1"/>
    <xf numFmtId="0" fontId="7" fillId="0" borderId="0" xfId="0" applyFont="1"/>
    <xf numFmtId="165" fontId="7" fillId="0" borderId="0" xfId="0" applyNumberFormat="1" applyFont="1"/>
    <xf numFmtId="166" fontId="7" fillId="0" borderId="0" xfId="0" applyNumberFormat="1" applyFont="1"/>
    <xf numFmtId="0" fontId="7" fillId="0" borderId="0" xfId="0" applyFont="1" applyBorder="1"/>
    <xf numFmtId="0" fontId="7" fillId="0" borderId="0" xfId="0" applyFont="1" applyBorder="1" applyAlignment="1"/>
    <xf numFmtId="0" fontId="7" fillId="0" borderId="0" xfId="0" applyFont="1" applyBorder="1" applyAlignment="1">
      <alignment vertical="top" wrapText="1"/>
    </xf>
    <xf numFmtId="0" fontId="11" fillId="0" borderId="0" xfId="0" applyFont="1" applyBorder="1" applyAlignment="1">
      <alignment vertical="top" wrapText="1"/>
    </xf>
    <xf numFmtId="0" fontId="13" fillId="0" borderId="0" xfId="0" applyFont="1" applyAlignment="1">
      <alignment vertical="top" wrapText="1"/>
    </xf>
    <xf numFmtId="0" fontId="7" fillId="3" borderId="0" xfId="0" applyFont="1" applyFill="1"/>
    <xf numFmtId="0" fontId="11" fillId="0" borderId="0" xfId="0" applyFont="1"/>
    <xf numFmtId="0" fontId="7" fillId="0" borderId="0" xfId="0" applyFont="1" applyFill="1" applyBorder="1" applyProtection="1">
      <protection locked="0"/>
    </xf>
    <xf numFmtId="0" fontId="7" fillId="0" borderId="0" xfId="0" applyFont="1" applyAlignment="1">
      <alignment horizontal="left"/>
    </xf>
    <xf numFmtId="0" fontId="7" fillId="0" borderId="0" xfId="0" applyFont="1" applyAlignment="1">
      <alignment horizontal="right" vertical="top"/>
    </xf>
    <xf numFmtId="0" fontId="8" fillId="0" borderId="0" xfId="0" applyFont="1"/>
    <xf numFmtId="165" fontId="8" fillId="0" borderId="0" xfId="0" applyNumberFormat="1" applyFont="1"/>
    <xf numFmtId="0" fontId="0" fillId="0" borderId="4" xfId="0" applyBorder="1"/>
    <xf numFmtId="0" fontId="15" fillId="0" borderId="5" xfId="0" applyFont="1" applyBorder="1" applyAlignment="1">
      <alignment horizontal="center" vertical="center"/>
    </xf>
    <xf numFmtId="0" fontId="15" fillId="0" borderId="0" xfId="0" applyFont="1" applyAlignment="1">
      <alignment horizontal="center" vertical="center" wrapText="1"/>
    </xf>
    <xf numFmtId="0" fontId="7" fillId="0" borderId="16" xfId="0" applyFont="1" applyBorder="1" applyAlignment="1">
      <alignment vertical="top" wrapText="1"/>
    </xf>
    <xf numFmtId="0" fontId="7" fillId="0" borderId="17" xfId="0" applyFont="1" applyBorder="1" applyAlignment="1">
      <alignment vertical="top" wrapText="1"/>
    </xf>
    <xf numFmtId="0" fontId="7" fillId="0" borderId="18" xfId="0" applyFont="1" applyBorder="1" applyAlignment="1">
      <alignment vertical="top" wrapText="1"/>
    </xf>
    <xf numFmtId="0" fontId="9" fillId="0" borderId="6" xfId="0" applyFont="1" applyBorder="1" applyAlignment="1">
      <alignment vertical="top"/>
    </xf>
    <xf numFmtId="0" fontId="10" fillId="0" borderId="7" xfId="0" applyFont="1" applyBorder="1" applyAlignment="1">
      <alignment vertical="top"/>
    </xf>
    <xf numFmtId="0" fontId="9" fillId="0" borderId="7" xfId="0" applyFont="1" applyBorder="1" applyAlignment="1">
      <alignment vertical="top"/>
    </xf>
    <xf numFmtId="0" fontId="9" fillId="0" borderId="8" xfId="0" applyFont="1" applyBorder="1" applyAlignment="1">
      <alignment vertical="top"/>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7" xfId="0" applyFont="1" applyBorder="1" applyAlignment="1">
      <alignment horizontal="center" vertical="center" wrapText="1"/>
    </xf>
    <xf numFmtId="0" fontId="14" fillId="2" borderId="13" xfId="0" applyFont="1" applyFill="1" applyBorder="1" applyAlignment="1">
      <alignment horizontal="center"/>
    </xf>
    <xf numFmtId="0" fontId="14" fillId="2" borderId="14" xfId="0" applyFont="1" applyFill="1" applyBorder="1" applyAlignment="1">
      <alignment horizontal="center"/>
    </xf>
    <xf numFmtId="0" fontId="8" fillId="0" borderId="15" xfId="0" applyFont="1" applyBorder="1" applyAlignment="1">
      <alignment horizontal="center" vertical="center" wrapText="1"/>
    </xf>
    <xf numFmtId="0" fontId="8" fillId="0" borderId="2" xfId="0" applyFont="1" applyBorder="1" applyAlignment="1">
      <alignment horizontal="center" vertical="center"/>
    </xf>
    <xf numFmtId="165" fontId="14" fillId="2" borderId="5" xfId="0" applyNumberFormat="1" applyFont="1" applyFill="1" applyBorder="1" applyAlignment="1">
      <alignment horizontal="center"/>
    </xf>
    <xf numFmtId="165" fontId="7" fillId="2" borderId="9" xfId="0" applyNumberFormat="1" applyFont="1" applyFill="1" applyBorder="1" applyAlignment="1">
      <alignment horizontal="center"/>
    </xf>
    <xf numFmtId="164" fontId="7" fillId="3" borderId="1" xfId="0" applyNumberFormat="1" applyFont="1" applyFill="1" applyBorder="1" applyAlignment="1">
      <alignment horizontal="center"/>
    </xf>
    <xf numFmtId="164" fontId="7" fillId="0" borderId="1" xfId="0" applyNumberFormat="1" applyFont="1" applyFill="1" applyBorder="1" applyAlignment="1">
      <alignment horizontal="center"/>
    </xf>
    <xf numFmtId="165" fontId="7" fillId="2" borderId="17" xfId="0" applyNumberFormat="1" applyFont="1" applyFill="1" applyBorder="1" applyAlignment="1">
      <alignment horizontal="center"/>
    </xf>
    <xf numFmtId="165" fontId="7" fillId="2" borderId="15" xfId="0" applyNumberFormat="1" applyFont="1" applyFill="1" applyBorder="1" applyAlignment="1">
      <alignment horizontal="center"/>
    </xf>
    <xf numFmtId="165" fontId="7" fillId="2" borderId="10" xfId="0" applyNumberFormat="1" applyFont="1" applyFill="1" applyBorder="1" applyAlignment="1">
      <alignment horizontal="center"/>
    </xf>
    <xf numFmtId="164" fontId="12" fillId="3" borderId="1" xfId="0" applyNumberFormat="1" applyFont="1" applyFill="1" applyBorder="1" applyAlignment="1">
      <alignment horizontal="center"/>
    </xf>
    <xf numFmtId="164" fontId="7" fillId="0" borderId="1" xfId="0" applyNumberFormat="1" applyFont="1" applyFill="1" applyBorder="1" applyAlignment="1" applyProtection="1">
      <alignment horizontal="center"/>
      <protection locked="0"/>
    </xf>
    <xf numFmtId="165" fontId="7" fillId="3" borderId="9" xfId="0" applyNumberFormat="1" applyFont="1" applyFill="1" applyBorder="1" applyAlignment="1">
      <alignment horizontal="center"/>
    </xf>
    <xf numFmtId="165" fontId="7" fillId="3" borderId="17" xfId="0" applyNumberFormat="1" applyFont="1" applyFill="1" applyBorder="1" applyAlignment="1">
      <alignment horizontal="center"/>
    </xf>
    <xf numFmtId="164" fontId="12" fillId="3" borderId="2" xfId="0" applyNumberFormat="1" applyFont="1" applyFill="1" applyBorder="1" applyAlignment="1">
      <alignment horizontal="center"/>
    </xf>
    <xf numFmtId="164" fontId="12" fillId="3" borderId="10" xfId="0" applyNumberFormat="1" applyFont="1" applyFill="1" applyBorder="1" applyAlignment="1">
      <alignment horizontal="center"/>
    </xf>
    <xf numFmtId="0" fontId="0" fillId="0" borderId="1" xfId="0" applyFill="1" applyBorder="1" applyAlignment="1" applyProtection="1">
      <alignment horizontal="center"/>
      <protection locked="0"/>
    </xf>
    <xf numFmtId="0" fontId="7" fillId="2" borderId="11" xfId="0" applyFont="1" applyFill="1" applyBorder="1" applyAlignment="1">
      <alignment horizontal="center"/>
    </xf>
    <xf numFmtId="0" fontId="7" fillId="2" borderId="3" xfId="0" applyFont="1" applyFill="1" applyBorder="1" applyAlignment="1">
      <alignment horizontal="center"/>
    </xf>
    <xf numFmtId="0" fontId="7" fillId="2" borderId="0" xfId="0" applyFont="1" applyFill="1" applyBorder="1" applyAlignment="1">
      <alignment horizontal="center"/>
    </xf>
    <xf numFmtId="0" fontId="7" fillId="2" borderId="12" xfId="0" applyFont="1" applyFill="1" applyBorder="1" applyAlignment="1">
      <alignment horizontal="center"/>
    </xf>
    <xf numFmtId="0" fontId="0" fillId="2" borderId="1" xfId="0" applyFill="1" applyBorder="1" applyAlignment="1" applyProtection="1">
      <alignment horizontal="center"/>
      <protection locked="0"/>
    </xf>
    <xf numFmtId="164" fontId="12" fillId="2" borderId="2" xfId="0" applyNumberFormat="1" applyFont="1" applyFill="1" applyBorder="1" applyAlignment="1">
      <alignment horizontal="center"/>
    </xf>
    <xf numFmtId="164" fontId="12" fillId="2" borderId="10" xfId="0" applyNumberFormat="1" applyFont="1" applyFill="1" applyBorder="1" applyAlignment="1">
      <alignment horizontal="center"/>
    </xf>
    <xf numFmtId="0" fontId="7" fillId="0" borderId="1" xfId="0" applyFont="1" applyBorder="1" applyAlignment="1" applyProtection="1">
      <alignment horizontal="center"/>
      <protection locked="0"/>
    </xf>
    <xf numFmtId="0" fontId="7" fillId="0" borderId="0" xfId="0" applyFont="1" applyAlignment="1">
      <alignment wrapText="1"/>
    </xf>
    <xf numFmtId="0" fontId="7" fillId="0" borderId="0" xfId="0" applyFont="1" applyBorder="1" applyAlignment="1">
      <alignment horizontal="center"/>
    </xf>
    <xf numFmtId="0" fontId="0" fillId="0" borderId="0" xfId="0" applyProtection="1">
      <protection locked="0"/>
    </xf>
    <xf numFmtId="164" fontId="7" fillId="0" borderId="0" xfId="0" applyNumberFormat="1" applyFont="1" applyFill="1" applyBorder="1" applyAlignment="1">
      <alignment horizontal="center"/>
    </xf>
    <xf numFmtId="164" fontId="12" fillId="0" borderId="0" xfId="0" applyNumberFormat="1" applyFont="1" applyFill="1" applyBorder="1" applyAlignment="1" applyProtection="1">
      <alignment horizontal="center"/>
      <protection locked="0"/>
    </xf>
    <xf numFmtId="0" fontId="0" fillId="0" borderId="0" xfId="0" applyFill="1" applyBorder="1" applyAlignment="1">
      <alignment horizont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165" fontId="7" fillId="0" borderId="0" xfId="0" applyNumberFormat="1" applyFont="1" applyFill="1" applyBorder="1" applyAlignment="1">
      <alignment horizontal="center"/>
    </xf>
    <xf numFmtId="164" fontId="18" fillId="0" borderId="0" xfId="0" applyNumberFormat="1" applyFont="1" applyFill="1" applyBorder="1" applyAlignment="1">
      <alignment horizontal="center"/>
    </xf>
    <xf numFmtId="165" fontId="11" fillId="0" borderId="0" xfId="0" applyNumberFormat="1" applyFont="1" applyFill="1" applyBorder="1" applyAlignment="1">
      <alignment horizontal="center"/>
    </xf>
    <xf numFmtId="164" fontId="11" fillId="0" borderId="0" xfId="0" applyNumberFormat="1" applyFont="1" applyFill="1" applyBorder="1" applyAlignment="1">
      <alignment horizontal="center"/>
    </xf>
    <xf numFmtId="164" fontId="12" fillId="0" borderId="0" xfId="0" applyNumberFormat="1" applyFont="1" applyFill="1" applyBorder="1" applyAlignment="1">
      <alignment horizontal="center"/>
    </xf>
    <xf numFmtId="0" fontId="0" fillId="0" borderId="0" xfId="0" applyFill="1" applyBorder="1" applyAlignment="1" applyProtection="1">
      <alignment horizontal="center"/>
      <protection locked="0"/>
    </xf>
    <xf numFmtId="164" fontId="7" fillId="0" borderId="0" xfId="0" applyNumberFormat="1" applyFont="1" applyFill="1" applyBorder="1" applyAlignment="1" applyProtection="1">
      <alignment horizontal="center"/>
      <protection locked="0"/>
    </xf>
    <xf numFmtId="0" fontId="7" fillId="0" borderId="0" xfId="0" applyFont="1" applyFill="1" applyBorder="1" applyAlignment="1">
      <alignment horizontal="center"/>
    </xf>
    <xf numFmtId="165" fontId="14" fillId="0" borderId="0" xfId="0" applyNumberFormat="1" applyFont="1" applyFill="1" applyBorder="1" applyAlignment="1">
      <alignment horizontal="center"/>
    </xf>
    <xf numFmtId="0" fontId="14" fillId="0" borderId="0" xfId="0" applyFont="1" applyFill="1" applyBorder="1" applyAlignment="1">
      <alignment horizontal="center"/>
    </xf>
    <xf numFmtId="0" fontId="14" fillId="0" borderId="25" xfId="0" applyFont="1" applyFill="1" applyBorder="1" applyAlignment="1">
      <alignment horizontal="center"/>
    </xf>
    <xf numFmtId="165" fontId="7" fillId="0" borderId="26" xfId="0" applyNumberFormat="1" applyFont="1" applyFill="1" applyBorder="1" applyAlignment="1">
      <alignment horizontal="center"/>
    </xf>
    <xf numFmtId="0" fontId="20" fillId="0" borderId="21" xfId="0" applyFont="1" applyFill="1" applyBorder="1" applyAlignment="1">
      <alignment horizontal="left"/>
    </xf>
    <xf numFmtId="165" fontId="7" fillId="3" borderId="30" xfId="0" applyNumberFormat="1" applyFont="1" applyFill="1" applyBorder="1" applyAlignment="1">
      <alignment horizontal="center"/>
    </xf>
    <xf numFmtId="164" fontId="12" fillId="3" borderId="31" xfId="0" applyNumberFormat="1" applyFont="1" applyFill="1" applyBorder="1" applyAlignment="1">
      <alignment horizontal="center"/>
    </xf>
    <xf numFmtId="0" fontId="0" fillId="3" borderId="28" xfId="0" applyFill="1" applyBorder="1"/>
    <xf numFmtId="0" fontId="0" fillId="3" borderId="10" xfId="0" applyFill="1" applyBorder="1"/>
    <xf numFmtId="165" fontId="7" fillId="3" borderId="28" xfId="0" applyNumberFormat="1" applyFont="1" applyFill="1" applyBorder="1" applyAlignment="1">
      <alignment horizontal="center"/>
    </xf>
    <xf numFmtId="165" fontId="7" fillId="0" borderId="30" xfId="0" applyNumberFormat="1" applyFont="1" applyFill="1" applyBorder="1" applyAlignment="1">
      <alignment horizontal="center"/>
    </xf>
    <xf numFmtId="165" fontId="7" fillId="3" borderId="33" xfId="0" applyNumberFormat="1" applyFont="1" applyFill="1" applyBorder="1" applyAlignment="1">
      <alignment horizontal="center"/>
    </xf>
    <xf numFmtId="164" fontId="12" fillId="3" borderId="29" xfId="0" applyNumberFormat="1" applyFont="1" applyFill="1" applyBorder="1" applyAlignment="1">
      <alignment horizontal="center"/>
    </xf>
    <xf numFmtId="0" fontId="7" fillId="0" borderId="26" xfId="0" applyFont="1" applyFill="1" applyBorder="1" applyAlignment="1">
      <alignment horizontal="center"/>
    </xf>
    <xf numFmtId="0" fontId="7" fillId="0" borderId="27" xfId="0" applyFont="1" applyFill="1" applyBorder="1" applyAlignment="1">
      <alignment horizontal="center"/>
    </xf>
    <xf numFmtId="0" fontId="6" fillId="3" borderId="28" xfId="0" applyFont="1" applyFill="1" applyBorder="1"/>
    <xf numFmtId="165" fontId="7" fillId="2" borderId="30" xfId="0" applyNumberFormat="1" applyFont="1" applyFill="1" applyBorder="1" applyAlignment="1">
      <alignment horizontal="center"/>
    </xf>
    <xf numFmtId="0" fontId="6" fillId="2" borderId="28" xfId="0" applyFont="1" applyFill="1" applyBorder="1" applyAlignment="1">
      <alignment horizontal="center"/>
    </xf>
    <xf numFmtId="165" fontId="7" fillId="2" borderId="28" xfId="0" applyNumberFormat="1" applyFont="1" applyFill="1" applyBorder="1" applyAlignment="1">
      <alignment horizontal="center"/>
    </xf>
    <xf numFmtId="164" fontId="7" fillId="3" borderId="32" xfId="0" applyNumberFormat="1" applyFont="1" applyFill="1" applyBorder="1" applyAlignment="1">
      <alignment horizontal="center"/>
    </xf>
    <xf numFmtId="0" fontId="0" fillId="0" borderId="19" xfId="0" applyBorder="1" applyAlignment="1">
      <alignment horizontal="center"/>
    </xf>
    <xf numFmtId="0" fontId="23" fillId="0" borderId="34" xfId="0" applyFont="1" applyBorder="1" applyAlignment="1">
      <alignment horizontal="center"/>
    </xf>
    <xf numFmtId="0" fontId="7" fillId="0" borderId="19" xfId="0" applyFont="1" applyBorder="1" applyAlignment="1">
      <alignment horizontal="center"/>
    </xf>
    <xf numFmtId="0" fontId="8" fillId="0" borderId="34" xfId="0" applyFont="1" applyBorder="1" applyAlignment="1">
      <alignment horizontal="center"/>
    </xf>
    <xf numFmtId="0" fontId="8" fillId="0" borderId="19" xfId="0" applyFont="1" applyBorder="1" applyAlignment="1">
      <alignment horizontal="center"/>
    </xf>
    <xf numFmtId="0" fontId="6" fillId="0" borderId="19" xfId="0" applyFont="1" applyBorder="1" applyAlignment="1">
      <alignment horizontal="center"/>
    </xf>
    <xf numFmtId="0" fontId="24" fillId="0" borderId="0" xfId="0" applyFont="1"/>
    <xf numFmtId="165" fontId="24" fillId="0" borderId="0" xfId="0" applyNumberFormat="1" applyFont="1"/>
    <xf numFmtId="0" fontId="24" fillId="0" borderId="0" xfId="0" quotePrefix="1" applyFont="1"/>
    <xf numFmtId="0" fontId="25" fillId="0" borderId="0" xfId="1" applyFont="1" applyAlignment="1" applyProtection="1">
      <alignment wrapText="1"/>
    </xf>
    <xf numFmtId="164" fontId="26" fillId="0" borderId="1" xfId="0" applyNumberFormat="1" applyFont="1" applyFill="1" applyBorder="1" applyAlignment="1">
      <alignment horizontal="center"/>
    </xf>
    <xf numFmtId="165" fontId="14" fillId="4" borderId="5" xfId="0" applyNumberFormat="1" applyFont="1" applyFill="1" applyBorder="1" applyAlignment="1">
      <alignment horizontal="center"/>
    </xf>
    <xf numFmtId="165" fontId="26" fillId="2" borderId="17" xfId="0" applyNumberFormat="1" applyFont="1" applyFill="1" applyBorder="1" applyAlignment="1">
      <alignment horizontal="center"/>
    </xf>
    <xf numFmtId="0" fontId="27" fillId="0" borderId="7" xfId="0" applyFont="1" applyBorder="1" applyAlignment="1">
      <alignment vertical="top"/>
    </xf>
    <xf numFmtId="0" fontId="26" fillId="0" borderId="17" xfId="0" applyFont="1" applyBorder="1" applyAlignment="1">
      <alignment vertical="top" wrapText="1"/>
    </xf>
    <xf numFmtId="165" fontId="26" fillId="2" borderId="9" xfId="0" applyNumberFormat="1" applyFont="1" applyFill="1" applyBorder="1" applyAlignment="1">
      <alignment horizontal="center"/>
    </xf>
    <xf numFmtId="164" fontId="26" fillId="2" borderId="1" xfId="0" applyNumberFormat="1" applyFont="1" applyFill="1" applyBorder="1" applyAlignment="1">
      <alignment horizontal="center"/>
    </xf>
    <xf numFmtId="0" fontId="26" fillId="0" borderId="0" xfId="0" applyFont="1"/>
    <xf numFmtId="0" fontId="26" fillId="0" borderId="0" xfId="0" applyFont="1" applyBorder="1" applyAlignment="1">
      <alignment vertical="top" wrapText="1"/>
    </xf>
    <xf numFmtId="165" fontId="26" fillId="2" borderId="30" xfId="0" applyNumberFormat="1" applyFont="1" applyFill="1" applyBorder="1" applyAlignment="1">
      <alignment horizontal="center"/>
    </xf>
    <xf numFmtId="164" fontId="26" fillId="0" borderId="31" xfId="0" applyNumberFormat="1" applyFont="1" applyFill="1" applyBorder="1" applyAlignment="1">
      <alignment horizontal="center"/>
    </xf>
    <xf numFmtId="165" fontId="26" fillId="2" borderId="28" xfId="0" applyNumberFormat="1" applyFont="1" applyFill="1" applyBorder="1" applyAlignment="1">
      <alignment horizontal="center"/>
    </xf>
    <xf numFmtId="164" fontId="26" fillId="0" borderId="10" xfId="0" applyNumberFormat="1" applyFont="1" applyFill="1" applyBorder="1" applyAlignment="1">
      <alignment horizontal="center"/>
    </xf>
    <xf numFmtId="165" fontId="26" fillId="3" borderId="30" xfId="0" applyNumberFormat="1" applyFont="1" applyFill="1" applyBorder="1" applyAlignment="1">
      <alignment horizontal="center"/>
    </xf>
    <xf numFmtId="164" fontId="26" fillId="3" borderId="31" xfId="0" applyNumberFormat="1" applyFont="1" applyFill="1" applyBorder="1" applyAlignment="1">
      <alignment horizontal="center"/>
    </xf>
    <xf numFmtId="164" fontId="26" fillId="2" borderId="31" xfId="0" applyNumberFormat="1" applyFont="1" applyFill="1" applyBorder="1" applyAlignment="1">
      <alignment horizontal="center"/>
    </xf>
    <xf numFmtId="0" fontId="20" fillId="0" borderId="21" xfId="0" applyFont="1" applyFill="1" applyBorder="1" applyAlignment="1">
      <alignment horizontal="center" vertical="top"/>
    </xf>
    <xf numFmtId="0" fontId="20" fillId="0" borderId="19" xfId="0" applyFont="1" applyFill="1" applyBorder="1" applyAlignment="1">
      <alignment horizontal="left" vertical="center"/>
    </xf>
    <xf numFmtId="0" fontId="15" fillId="0" borderId="19" xfId="0" applyFont="1" applyFill="1" applyBorder="1" applyAlignment="1">
      <alignment horizontal="left" vertical="center"/>
    </xf>
    <xf numFmtId="165" fontId="26" fillId="2" borderId="9" xfId="0" applyNumberFormat="1" applyFont="1" applyFill="1" applyBorder="1" applyAlignment="1" applyProtection="1">
      <alignment horizontal="center"/>
      <protection hidden="1"/>
    </xf>
    <xf numFmtId="165" fontId="7" fillId="0" borderId="10" xfId="0" applyNumberFormat="1" applyFont="1" applyFill="1" applyBorder="1" applyAlignment="1">
      <alignment horizontal="center"/>
    </xf>
    <xf numFmtId="0" fontId="0" fillId="0" borderId="0" xfId="0" applyProtection="1">
      <protection hidden="1"/>
    </xf>
    <xf numFmtId="0" fontId="15" fillId="0" borderId="0" xfId="0" applyFont="1" applyAlignment="1"/>
    <xf numFmtId="0" fontId="7" fillId="0" borderId="0" xfId="0" applyFont="1" applyAlignment="1"/>
    <xf numFmtId="0" fontId="7" fillId="0" borderId="0" xfId="0" applyFont="1" applyAlignment="1">
      <alignment wrapText="1"/>
    </xf>
    <xf numFmtId="0" fontId="8" fillId="0" borderId="0" xfId="0" applyFont="1" applyAlignment="1">
      <alignment wrapText="1"/>
    </xf>
    <xf numFmtId="0" fontId="7" fillId="0" borderId="0" xfId="0" applyFont="1" applyFill="1" applyBorder="1" applyAlignment="1">
      <alignment wrapText="1"/>
    </xf>
    <xf numFmtId="0" fontId="13" fillId="0" borderId="19" xfId="0" applyFont="1" applyBorder="1" applyAlignment="1">
      <alignment horizontal="center"/>
    </xf>
    <xf numFmtId="0" fontId="19" fillId="0" borderId="20" xfId="0" applyFont="1" applyBorder="1" applyAlignment="1">
      <alignment horizontal="center"/>
    </xf>
    <xf numFmtId="0" fontId="19" fillId="0" borderId="21" xfId="0" applyFont="1" applyBorder="1" applyAlignment="1">
      <alignment horizontal="center"/>
    </xf>
    <xf numFmtId="0" fontId="8" fillId="0" borderId="23" xfId="0" applyFont="1" applyBorder="1" applyAlignment="1">
      <alignment horizontal="left" vertical="top" wrapText="1"/>
    </xf>
    <xf numFmtId="0" fontId="8" fillId="0" borderId="22" xfId="0" applyFont="1" applyBorder="1" applyAlignment="1">
      <alignment horizontal="left" vertical="top"/>
    </xf>
    <xf numFmtId="0" fontId="0" fillId="0" borderId="24" xfId="0" applyBorder="1" applyAlignment="1">
      <alignment horizontal="left" vertical="top"/>
    </xf>
    <xf numFmtId="0" fontId="15" fillId="0" borderId="19" xfId="0" applyFont="1" applyBorder="1" applyAlignment="1">
      <alignment horizontal="center" vertic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left" vertical="top"/>
    </xf>
    <xf numFmtId="0" fontId="13" fillId="0" borderId="0" xfId="0" applyFont="1" applyAlignment="1">
      <alignment horizontal="left"/>
    </xf>
  </cellXfs>
  <cellStyles count="3">
    <cellStyle name="Currency 2" xfId="2" xr:uid="{00000000-0005-0000-0000-000000000000}"/>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1:C15"/>
  <sheetViews>
    <sheetView tabSelected="1" workbookViewId="0">
      <selection activeCell="B1" sqref="B1:C1"/>
    </sheetView>
  </sheetViews>
  <sheetFormatPr defaultRowHeight="12.5" x14ac:dyDescent="0.25"/>
  <cols>
    <col min="2" max="2" width="5.453125" customWidth="1"/>
    <col min="3" max="3" width="101.54296875" style="2" customWidth="1"/>
  </cols>
  <sheetData>
    <row r="1" spans="2:3" ht="17.5" x14ac:dyDescent="0.35">
      <c r="B1" s="129" t="s">
        <v>128</v>
      </c>
      <c r="C1" s="130"/>
    </row>
    <row r="2" spans="2:3" x14ac:dyDescent="0.25">
      <c r="B2" s="130"/>
      <c r="C2" s="131"/>
    </row>
    <row r="3" spans="2:3" ht="24.75" customHeight="1" x14ac:dyDescent="0.25">
      <c r="B3" s="131" t="s">
        <v>56</v>
      </c>
      <c r="C3" s="130"/>
    </row>
    <row r="4" spans="2:3" ht="28.5" customHeight="1" x14ac:dyDescent="0.25">
      <c r="B4" s="131" t="s">
        <v>50</v>
      </c>
      <c r="C4" s="131"/>
    </row>
    <row r="5" spans="2:3" x14ac:dyDescent="0.25">
      <c r="B5" s="131" t="s">
        <v>51</v>
      </c>
      <c r="C5" s="130"/>
    </row>
    <row r="6" spans="2:3" x14ac:dyDescent="0.25">
      <c r="B6" s="130" t="s">
        <v>55</v>
      </c>
      <c r="C6" s="130"/>
    </row>
    <row r="7" spans="2:3" x14ac:dyDescent="0.25">
      <c r="B7" s="133" t="s">
        <v>53</v>
      </c>
      <c r="C7" s="133"/>
    </row>
    <row r="8" spans="2:3" x14ac:dyDescent="0.25">
      <c r="B8" s="130"/>
      <c r="C8" s="131"/>
    </row>
    <row r="9" spans="2:3" x14ac:dyDescent="0.25">
      <c r="B9" s="132" t="s">
        <v>52</v>
      </c>
      <c r="C9" s="130"/>
    </row>
    <row r="10" spans="2:3" ht="25" x14ac:dyDescent="0.25">
      <c r="B10" s="17">
        <v>1</v>
      </c>
      <c r="C10" s="61" t="s">
        <v>62</v>
      </c>
    </row>
    <row r="11" spans="2:3" ht="25" x14ac:dyDescent="0.25">
      <c r="B11" s="18" t="s">
        <v>64</v>
      </c>
      <c r="C11" s="106" t="s">
        <v>63</v>
      </c>
    </row>
    <row r="12" spans="2:3" x14ac:dyDescent="0.25">
      <c r="B12" s="17">
        <v>2</v>
      </c>
      <c r="C12" s="61" t="s">
        <v>54</v>
      </c>
    </row>
    <row r="13" spans="2:3" x14ac:dyDescent="0.25">
      <c r="B13" s="18" t="s">
        <v>64</v>
      </c>
      <c r="C13" s="106" t="s">
        <v>127</v>
      </c>
    </row>
    <row r="14" spans="2:3" x14ac:dyDescent="0.25">
      <c r="B14" s="6"/>
      <c r="C14" s="61"/>
    </row>
    <row r="15" spans="2:3" ht="25" x14ac:dyDescent="0.25">
      <c r="B15" s="6"/>
      <c r="C15" s="61" t="s">
        <v>65</v>
      </c>
    </row>
  </sheetData>
  <mergeCells count="9">
    <mergeCell ref="B1:C1"/>
    <mergeCell ref="B2:C2"/>
    <mergeCell ref="B8:C8"/>
    <mergeCell ref="B9:C9"/>
    <mergeCell ref="B7:C7"/>
    <mergeCell ref="B3:C3"/>
    <mergeCell ref="B4:C4"/>
    <mergeCell ref="B5:C5"/>
    <mergeCell ref="B6:C6"/>
  </mergeCells>
  <phoneticPr fontId="4" type="noConversion"/>
  <hyperlinks>
    <hyperlink ref="C11" location="'Weighing &amp; Dimensioning'!A1" display="class 3, 200 kg platform scale with no previous OIML testing carried out, would be assessed as a Weighing and Dimensional instrument Level 2." xr:uid="{00000000-0004-0000-0000-000000000000}"/>
    <hyperlink ref="C13" location="'Weighing &amp; Dimensioning'!A1" display="Weighing and Dimensional instrument, Level 2 - total estimate $34462" xr:uid="{00000000-0004-0000-0000-000001000000}"/>
  </hyperlinks>
  <pageMargins left="0.75" right="0.75" top="1" bottom="1" header="0.5" footer="0.5"/>
  <pageSetup paperSize="9" orientation="landscape" r:id="rId1"/>
  <headerFooter alignWithMargins="0">
    <oddHeader>&amp;C&amp;"Calibri"&amp;12&amp;KC00000 OFFICIAL&amp;1#_x000D_</oddHeader>
    <oddFooter>&amp;C_x000D_&amp;1#&amp;"Calibri"&amp;12&amp;KC00000 OFFICIAL</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56"/>
  <sheetViews>
    <sheetView zoomScale="84" zoomScaleNormal="84" workbookViewId="0">
      <selection activeCell="L35" sqref="L35"/>
    </sheetView>
  </sheetViews>
  <sheetFormatPr defaultRowHeight="12.5" x14ac:dyDescent="0.25"/>
  <cols>
    <col min="1" max="1" width="8" customWidth="1"/>
    <col min="2" max="2" width="31.26953125" bestFit="1" customWidth="1"/>
    <col min="3" max="3" width="6.54296875" customWidth="1"/>
    <col min="4" max="15" width="15.7265625" customWidth="1"/>
  </cols>
  <sheetData>
    <row r="1" spans="1:15" x14ac:dyDescent="0.25">
      <c r="D1" s="21"/>
      <c r="I1">
        <v>137.4</v>
      </c>
    </row>
    <row r="2" spans="1:15" x14ac:dyDescent="0.25">
      <c r="I2">
        <v>140.69999999999999</v>
      </c>
      <c r="L2" s="5"/>
    </row>
    <row r="3" spans="1:15" x14ac:dyDescent="0.25">
      <c r="E3" s="1"/>
      <c r="F3" s="1"/>
      <c r="G3" s="1"/>
      <c r="L3" s="5"/>
    </row>
    <row r="4" spans="1:15" x14ac:dyDescent="0.25">
      <c r="A4" s="6"/>
      <c r="B4" s="19" t="s">
        <v>27</v>
      </c>
      <c r="C4" s="19"/>
      <c r="D4" s="20">
        <v>521</v>
      </c>
      <c r="E4" s="8"/>
      <c r="F4" s="8"/>
      <c r="G4" s="8"/>
      <c r="H4" s="6"/>
      <c r="I4" s="6"/>
      <c r="J4" s="6"/>
      <c r="K4" s="6"/>
      <c r="L4" s="6"/>
      <c r="M4" s="6"/>
      <c r="N4" s="6"/>
      <c r="O4" s="6"/>
    </row>
    <row r="5" spans="1:15" ht="13" thickBot="1" x14ac:dyDescent="0.3">
      <c r="A5" s="6"/>
      <c r="B5" s="6"/>
      <c r="C5" s="9"/>
      <c r="D5" s="9"/>
      <c r="E5" s="9"/>
      <c r="F5" s="9"/>
      <c r="G5" s="9"/>
      <c r="H5" s="9"/>
      <c r="I5" s="9"/>
      <c r="J5" s="9"/>
      <c r="K5" s="9"/>
      <c r="L5" s="9"/>
      <c r="M5" s="9"/>
      <c r="N5" s="9"/>
      <c r="O5" s="9"/>
    </row>
    <row r="6" spans="1:15" s="3" customFormat="1" ht="35.5" thickBot="1" x14ac:dyDescent="0.3">
      <c r="A6" s="23" t="s">
        <v>83</v>
      </c>
      <c r="B6" s="22" t="s">
        <v>82</v>
      </c>
      <c r="C6" s="10"/>
      <c r="D6" s="140" t="s">
        <v>126</v>
      </c>
      <c r="E6" s="141"/>
      <c r="F6" s="141"/>
      <c r="G6" s="141"/>
      <c r="H6" s="141"/>
      <c r="I6" s="141"/>
      <c r="J6" s="141"/>
      <c r="K6" s="141"/>
      <c r="L6" s="141"/>
      <c r="M6" s="141"/>
      <c r="N6" s="141"/>
      <c r="O6" s="142"/>
    </row>
    <row r="7" spans="1:15" ht="16" thickBot="1" x14ac:dyDescent="0.4">
      <c r="A7" s="6"/>
      <c r="B7" s="6"/>
      <c r="C7" s="9"/>
      <c r="D7" s="134" t="s">
        <v>0</v>
      </c>
      <c r="E7" s="135"/>
      <c r="F7" s="135"/>
      <c r="G7" s="136"/>
      <c r="H7" s="134" t="s">
        <v>1</v>
      </c>
      <c r="I7" s="135"/>
      <c r="J7" s="135"/>
      <c r="K7" s="136"/>
      <c r="L7" s="134" t="s">
        <v>2</v>
      </c>
      <c r="M7" s="135"/>
      <c r="N7" s="135"/>
      <c r="O7" s="136"/>
    </row>
    <row r="8" spans="1:15" ht="129.75" customHeight="1" x14ac:dyDescent="0.25">
      <c r="A8" s="6"/>
      <c r="B8" s="6"/>
      <c r="C8" s="9"/>
      <c r="D8" s="137" t="s">
        <v>87</v>
      </c>
      <c r="E8" s="138"/>
      <c r="F8" s="138"/>
      <c r="G8" s="139"/>
      <c r="H8" s="137" t="s">
        <v>88</v>
      </c>
      <c r="I8" s="143"/>
      <c r="J8" s="143"/>
      <c r="K8" s="143"/>
      <c r="L8" s="137" t="s">
        <v>89</v>
      </c>
      <c r="M8" s="143"/>
      <c r="N8" s="143"/>
      <c r="O8" s="139"/>
    </row>
    <row r="9" spans="1:15" ht="25.5" thickBot="1" x14ac:dyDescent="0.3">
      <c r="A9" s="6"/>
      <c r="B9" s="6"/>
      <c r="C9" s="9"/>
      <c r="D9" s="31" t="s">
        <v>25</v>
      </c>
      <c r="E9" s="32" t="s">
        <v>26</v>
      </c>
      <c r="F9" s="33" t="s">
        <v>86</v>
      </c>
      <c r="G9" s="34" t="s">
        <v>90</v>
      </c>
      <c r="H9" s="31" t="s">
        <v>25</v>
      </c>
      <c r="I9" s="32" t="s">
        <v>26</v>
      </c>
      <c r="J9" s="33" t="s">
        <v>86</v>
      </c>
      <c r="K9" s="37" t="s">
        <v>90</v>
      </c>
      <c r="L9" s="31" t="s">
        <v>25</v>
      </c>
      <c r="M9" s="38" t="s">
        <v>26</v>
      </c>
      <c r="N9" s="33" t="s">
        <v>86</v>
      </c>
      <c r="O9" s="34" t="s">
        <v>90</v>
      </c>
    </row>
    <row r="10" spans="1:15" x14ac:dyDescent="0.25">
      <c r="A10" s="27" t="s">
        <v>3</v>
      </c>
      <c r="B10" s="24" t="s">
        <v>79</v>
      </c>
      <c r="C10" s="11"/>
      <c r="D10" s="40">
        <f>ROUND(763*(1.0240175),0)</f>
        <v>781</v>
      </c>
      <c r="E10" s="41"/>
      <c r="F10" s="42" t="s">
        <v>84</v>
      </c>
      <c r="G10" s="43">
        <f t="shared" ref="G10:G17" si="0">IF(F10="Yes",D10,"")</f>
        <v>781</v>
      </c>
      <c r="H10" s="40">
        <f>ROUND(763*(1.0240175),0)</f>
        <v>781</v>
      </c>
      <c r="I10" s="41"/>
      <c r="J10" s="107" t="s">
        <v>84</v>
      </c>
      <c r="K10" s="44">
        <f t="shared" ref="K10:K17" si="1">IF(J10="Yes",H10,"")</f>
        <v>781</v>
      </c>
      <c r="L10" s="40">
        <f>ROUND(763*(1.0240175),0)</f>
        <v>781</v>
      </c>
      <c r="M10" s="41"/>
      <c r="N10" s="107" t="s">
        <v>84</v>
      </c>
      <c r="O10" s="127">
        <f t="shared" ref="O10:O17" si="2">IF(N10="Yes",L10,"")</f>
        <v>781</v>
      </c>
    </row>
    <row r="11" spans="1:15" x14ac:dyDescent="0.25">
      <c r="A11" s="110" t="s">
        <v>4</v>
      </c>
      <c r="B11" s="111" t="s">
        <v>80</v>
      </c>
      <c r="C11" s="12"/>
      <c r="D11" s="126">
        <f>ROUND(E11*$D$4,0)</f>
        <v>2605</v>
      </c>
      <c r="E11" s="113">
        <v>5</v>
      </c>
      <c r="F11" s="113" t="s">
        <v>84</v>
      </c>
      <c r="G11" s="109">
        <f t="shared" si="0"/>
        <v>2605</v>
      </c>
      <c r="H11" s="112">
        <f>ROUND(I11*$D$4,0)</f>
        <v>3387</v>
      </c>
      <c r="I11" s="113">
        <v>6.5</v>
      </c>
      <c r="J11" s="107" t="s">
        <v>84</v>
      </c>
      <c r="K11" s="44">
        <f t="shared" si="1"/>
        <v>3387</v>
      </c>
      <c r="L11" s="112">
        <f>ROUND(M11*$D$4,0)</f>
        <v>4168</v>
      </c>
      <c r="M11" s="113">
        <v>8</v>
      </c>
      <c r="N11" s="107" t="s">
        <v>84</v>
      </c>
      <c r="O11" s="45">
        <f t="shared" si="2"/>
        <v>4168</v>
      </c>
    </row>
    <row r="12" spans="1:15" x14ac:dyDescent="0.25">
      <c r="A12" s="110" t="s">
        <v>5</v>
      </c>
      <c r="B12" s="111" t="s">
        <v>81</v>
      </c>
      <c r="C12" s="12"/>
      <c r="D12" s="112">
        <f>ROUND(E12*$D$4,0)</f>
        <v>4950</v>
      </c>
      <c r="E12" s="113">
        <v>9.5</v>
      </c>
      <c r="F12" s="113" t="s">
        <v>84</v>
      </c>
      <c r="G12" s="109">
        <f t="shared" si="0"/>
        <v>4950</v>
      </c>
      <c r="H12" s="112">
        <f>ROUND(I12*$D$4,0)</f>
        <v>6773</v>
      </c>
      <c r="I12" s="113">
        <v>13</v>
      </c>
      <c r="J12" s="107" t="s">
        <v>84</v>
      </c>
      <c r="K12" s="44">
        <f t="shared" si="1"/>
        <v>6773</v>
      </c>
      <c r="L12" s="112">
        <f>ROUND(M12*$D$4,0)</f>
        <v>8597</v>
      </c>
      <c r="M12" s="113">
        <v>16.5</v>
      </c>
      <c r="N12" s="107" t="s">
        <v>84</v>
      </c>
      <c r="O12" s="45">
        <f t="shared" si="2"/>
        <v>8597</v>
      </c>
    </row>
    <row r="13" spans="1:15" x14ac:dyDescent="0.25">
      <c r="A13" s="110" t="s">
        <v>19</v>
      </c>
      <c r="B13" s="111" t="s">
        <v>20</v>
      </c>
      <c r="C13" s="12"/>
      <c r="D13" s="112">
        <f>ROUND(E13*$D$4,0)</f>
        <v>2084</v>
      </c>
      <c r="E13" s="113">
        <v>4</v>
      </c>
      <c r="F13" s="113" t="s">
        <v>84</v>
      </c>
      <c r="G13" s="109">
        <f t="shared" si="0"/>
        <v>2084</v>
      </c>
      <c r="H13" s="112">
        <f>ROUND(I13*$D$4,0)</f>
        <v>2605</v>
      </c>
      <c r="I13" s="113">
        <v>5</v>
      </c>
      <c r="J13" s="107" t="s">
        <v>84</v>
      </c>
      <c r="K13" s="44">
        <f t="shared" si="1"/>
        <v>2605</v>
      </c>
      <c r="L13" s="112">
        <f>ROUND(M13*$D$4,0)</f>
        <v>3126</v>
      </c>
      <c r="M13" s="113">
        <v>6</v>
      </c>
      <c r="N13" s="107" t="s">
        <v>84</v>
      </c>
      <c r="O13" s="45">
        <f t="shared" si="2"/>
        <v>3126</v>
      </c>
    </row>
    <row r="14" spans="1:15" x14ac:dyDescent="0.25">
      <c r="A14" s="110" t="s">
        <v>21</v>
      </c>
      <c r="B14" s="111" t="s">
        <v>78</v>
      </c>
      <c r="C14" s="12"/>
      <c r="D14" s="112">
        <f>ROUND(E14*$D$4,0)</f>
        <v>1563</v>
      </c>
      <c r="E14" s="113">
        <v>3</v>
      </c>
      <c r="F14" s="113" t="s">
        <v>84</v>
      </c>
      <c r="G14" s="109">
        <f t="shared" si="0"/>
        <v>1563</v>
      </c>
      <c r="H14" s="112">
        <f>ROUND(I14*$D$4,0)</f>
        <v>2605</v>
      </c>
      <c r="I14" s="113">
        <v>5</v>
      </c>
      <c r="J14" s="107" t="s">
        <v>84</v>
      </c>
      <c r="K14" s="44">
        <f t="shared" si="1"/>
        <v>2605</v>
      </c>
      <c r="L14" s="112">
        <f>ROUND(M14*$D$4,0)</f>
        <v>2866</v>
      </c>
      <c r="M14" s="113">
        <v>5.5</v>
      </c>
      <c r="N14" s="107" t="s">
        <v>84</v>
      </c>
      <c r="O14" s="45">
        <f t="shared" si="2"/>
        <v>2866</v>
      </c>
    </row>
    <row r="15" spans="1:15" x14ac:dyDescent="0.25">
      <c r="A15" s="110" t="s">
        <v>22</v>
      </c>
      <c r="B15" s="111" t="s">
        <v>23</v>
      </c>
      <c r="C15" s="12"/>
      <c r="D15" s="112">
        <f>ROUND(E15*$D$4,0)</f>
        <v>2605</v>
      </c>
      <c r="E15" s="113">
        <v>5</v>
      </c>
      <c r="F15" s="113" t="s">
        <v>84</v>
      </c>
      <c r="G15" s="109">
        <f t="shared" si="0"/>
        <v>2605</v>
      </c>
      <c r="H15" s="112">
        <f>ROUND(I15*$D$4,0)</f>
        <v>4168</v>
      </c>
      <c r="I15" s="113">
        <v>8</v>
      </c>
      <c r="J15" s="107" t="s">
        <v>84</v>
      </c>
      <c r="K15" s="44">
        <f t="shared" si="1"/>
        <v>4168</v>
      </c>
      <c r="L15" s="112">
        <f>ROUND(M15*$D$4,0)</f>
        <v>5210</v>
      </c>
      <c r="M15" s="113">
        <v>10</v>
      </c>
      <c r="N15" s="107" t="s">
        <v>84</v>
      </c>
      <c r="O15" s="45">
        <f t="shared" si="2"/>
        <v>5210</v>
      </c>
    </row>
    <row r="16" spans="1:15" x14ac:dyDescent="0.25">
      <c r="A16" s="29" t="s">
        <v>6</v>
      </c>
      <c r="B16" s="25" t="s">
        <v>7</v>
      </c>
      <c r="C16" s="11"/>
      <c r="D16" s="40">
        <f>ROUND(ROUND(3054*ROUND($I$2/$I$1,3),0),0)</f>
        <v>3127</v>
      </c>
      <c r="E16" s="46"/>
      <c r="F16" s="60" t="s">
        <v>85</v>
      </c>
      <c r="G16" s="43" t="str">
        <f t="shared" si="0"/>
        <v/>
      </c>
      <c r="H16" s="40">
        <f>ROUND(ROUND(4835*ROUND($I$2/$I$1,3),0),0)</f>
        <v>4951</v>
      </c>
      <c r="I16" s="46"/>
      <c r="J16" s="47" t="s">
        <v>85</v>
      </c>
      <c r="K16" s="44" t="str">
        <f t="shared" si="1"/>
        <v/>
      </c>
      <c r="L16" s="40">
        <f>ROUND(ROUND(5278*ROUND($I$2/$I$1,3),0),0)</f>
        <v>5405</v>
      </c>
      <c r="M16" s="46"/>
      <c r="N16" s="47" t="s">
        <v>85</v>
      </c>
      <c r="O16" s="45" t="str">
        <f t="shared" si="2"/>
        <v/>
      </c>
    </row>
    <row r="17" spans="1:17" x14ac:dyDescent="0.25">
      <c r="A17" s="29" t="s">
        <v>8</v>
      </c>
      <c r="B17" s="25" t="s">
        <v>9</v>
      </c>
      <c r="C17" s="11"/>
      <c r="D17" s="40">
        <f>ROUND(ROUND(3490*ROUND($I$2/$I$1,3),0),0)</f>
        <v>3574</v>
      </c>
      <c r="E17" s="46"/>
      <c r="F17" s="47" t="s">
        <v>85</v>
      </c>
      <c r="G17" s="43" t="str">
        <f t="shared" si="0"/>
        <v/>
      </c>
      <c r="H17" s="40">
        <f>ROUND(ROUND(3845*ROUND($I$2/$I$1,3),0),0)</f>
        <v>3937</v>
      </c>
      <c r="I17" s="46"/>
      <c r="J17" s="47" t="s">
        <v>85</v>
      </c>
      <c r="K17" s="44" t="str">
        <f t="shared" si="1"/>
        <v/>
      </c>
      <c r="L17" s="40">
        <f>ROUND(ROUND(4097*ROUND($I$2/$I$1,3),0),0)</f>
        <v>4195</v>
      </c>
      <c r="M17" s="46"/>
      <c r="N17" s="47" t="s">
        <v>85</v>
      </c>
      <c r="O17" s="45" t="str">
        <f t="shared" si="2"/>
        <v/>
      </c>
    </row>
    <row r="18" spans="1:17" x14ac:dyDescent="0.25">
      <c r="A18" s="29" t="s">
        <v>67</v>
      </c>
      <c r="B18" s="25" t="s">
        <v>68</v>
      </c>
      <c r="C18" s="11"/>
      <c r="D18" s="48"/>
      <c r="E18" s="46"/>
      <c r="F18" s="46"/>
      <c r="G18" s="49"/>
      <c r="H18" s="48"/>
      <c r="I18" s="46"/>
      <c r="J18" s="46"/>
      <c r="K18" s="50"/>
      <c r="L18" s="48"/>
      <c r="M18" s="46"/>
      <c r="N18" s="46"/>
      <c r="O18" s="51"/>
    </row>
    <row r="19" spans="1:17" x14ac:dyDescent="0.25">
      <c r="A19" s="29" t="s">
        <v>10</v>
      </c>
      <c r="B19" s="25" t="s">
        <v>11</v>
      </c>
      <c r="C19" s="11"/>
      <c r="D19" s="40">
        <f>ROUND(ROUND(1504*ROUND($I$2/$I$1,3),0),0)</f>
        <v>1540</v>
      </c>
      <c r="E19" s="46"/>
      <c r="F19" s="47" t="s">
        <v>85</v>
      </c>
      <c r="G19" s="43" t="str">
        <f>IF(F19="Yes",D19,"")</f>
        <v/>
      </c>
      <c r="H19" s="40">
        <f>ROUND(ROUND(2060*ROUND($I$2/$I$1,3),0),0)</f>
        <v>2109</v>
      </c>
      <c r="I19" s="46"/>
      <c r="J19" s="47" t="s">
        <v>85</v>
      </c>
      <c r="K19" s="44" t="str">
        <f t="shared" ref="K19:K20" si="3">IF(J19="Yes",H19,"")</f>
        <v/>
      </c>
      <c r="L19" s="40">
        <f>ROUND(ROUND(2268*ROUND($I$2/$I$1,3),0),0)</f>
        <v>2322</v>
      </c>
      <c r="M19" s="46"/>
      <c r="N19" s="47" t="s">
        <v>85</v>
      </c>
      <c r="O19" s="45" t="str">
        <f t="shared" ref="O19:O20" si="4">IF(N19="Yes",L19,"")</f>
        <v/>
      </c>
    </row>
    <row r="20" spans="1:17" x14ac:dyDescent="0.25">
      <c r="A20" s="29" t="s">
        <v>12</v>
      </c>
      <c r="B20" s="25" t="s">
        <v>13</v>
      </c>
      <c r="C20" s="11"/>
      <c r="D20" s="40">
        <f>ROUND(ROUND(3632*ROUND($I$2/$I$1,3),0),0)</f>
        <v>3719</v>
      </c>
      <c r="E20" s="46"/>
      <c r="F20" s="47" t="s">
        <v>85</v>
      </c>
      <c r="G20" s="43" t="str">
        <f>IF(F20="Yes",D20,"")</f>
        <v/>
      </c>
      <c r="H20" s="40">
        <f>ROUND(ROUND(3683*ROUND($I$2/$I$1,3),0),0)</f>
        <v>3771</v>
      </c>
      <c r="I20" s="46"/>
      <c r="J20" s="47" t="s">
        <v>85</v>
      </c>
      <c r="K20" s="44" t="str">
        <f t="shared" si="3"/>
        <v/>
      </c>
      <c r="L20" s="40">
        <f>ROUND(ROUND(3725*ROUND($I$2/$I$1,3),0),0)</f>
        <v>3814</v>
      </c>
      <c r="M20" s="46"/>
      <c r="N20" s="47" t="s">
        <v>85</v>
      </c>
      <c r="O20" s="45" t="str">
        <f t="shared" si="4"/>
        <v/>
      </c>
    </row>
    <row r="21" spans="1:17" x14ac:dyDescent="0.25">
      <c r="A21" s="29" t="s">
        <v>69</v>
      </c>
      <c r="B21" s="25" t="s">
        <v>70</v>
      </c>
      <c r="C21" s="11"/>
      <c r="D21" s="48"/>
      <c r="E21" s="46"/>
      <c r="F21" s="46"/>
      <c r="G21" s="49"/>
      <c r="H21" s="48"/>
      <c r="I21" s="46"/>
      <c r="J21" s="46"/>
      <c r="K21" s="50"/>
      <c r="L21" s="48"/>
      <c r="M21" s="46"/>
      <c r="N21" s="46"/>
      <c r="O21" s="51"/>
    </row>
    <row r="22" spans="1:17" x14ac:dyDescent="0.25">
      <c r="A22" s="29" t="s">
        <v>14</v>
      </c>
      <c r="B22" s="25" t="s">
        <v>15</v>
      </c>
      <c r="C22" s="11"/>
      <c r="D22" s="40">
        <f>ROUND(ROUND(2451*ROUND($I$2/$I$1,3),0),0)</f>
        <v>2510</v>
      </c>
      <c r="E22" s="46"/>
      <c r="F22" s="47" t="s">
        <v>85</v>
      </c>
      <c r="G22" s="43" t="str">
        <f>IF(F22="Yes",D22,"")</f>
        <v/>
      </c>
      <c r="H22" s="40">
        <f>ROUND(ROUND(4534*ROUND($I$2/$I$1,3),0),0)</f>
        <v>4643</v>
      </c>
      <c r="I22" s="46"/>
      <c r="J22" s="47" t="s">
        <v>85</v>
      </c>
      <c r="K22" s="44" t="str">
        <f t="shared" ref="K22:K23" si="5">IF(J22="Yes",H22,"")</f>
        <v/>
      </c>
      <c r="L22" s="40">
        <f>ROUND(ROUND(5020*ROUND($I$2/$I$1,3),0),0)</f>
        <v>5140</v>
      </c>
      <c r="M22" s="46"/>
      <c r="N22" s="47" t="s">
        <v>85</v>
      </c>
      <c r="O22" s="45" t="str">
        <f t="shared" ref="O22:O23" si="6">IF(N22="Yes",L22,"")</f>
        <v/>
      </c>
    </row>
    <row r="23" spans="1:17" x14ac:dyDescent="0.25">
      <c r="A23" s="29" t="s">
        <v>16</v>
      </c>
      <c r="B23" s="25" t="s">
        <v>17</v>
      </c>
      <c r="C23" s="11"/>
      <c r="D23" s="40">
        <f>ROUND(ROUND(8145*ROUND($I$2/$I$1,3),0),0)</f>
        <v>8340</v>
      </c>
      <c r="E23" s="46"/>
      <c r="F23" s="47" t="s">
        <v>85</v>
      </c>
      <c r="G23" s="43" t="str">
        <f>IF(F23="Yes",D23,"")</f>
        <v/>
      </c>
      <c r="H23" s="40">
        <f>ROUND(ROUND(8863*ROUND($I$2/$I$1,3),0),0)</f>
        <v>9076</v>
      </c>
      <c r="I23" s="46"/>
      <c r="J23" s="47" t="s">
        <v>85</v>
      </c>
      <c r="K23" s="44" t="str">
        <f t="shared" si="5"/>
        <v/>
      </c>
      <c r="L23" s="40">
        <f>ROUND(ROUND(9606*ROUND($I$2/$I$1,3),0),0)</f>
        <v>9837</v>
      </c>
      <c r="M23" s="46"/>
      <c r="N23" s="47" t="s">
        <v>85</v>
      </c>
      <c r="O23" s="45" t="str">
        <f t="shared" si="6"/>
        <v/>
      </c>
    </row>
    <row r="24" spans="1:17" x14ac:dyDescent="0.25">
      <c r="A24" s="29" t="s">
        <v>61</v>
      </c>
      <c r="B24" s="25" t="s">
        <v>17</v>
      </c>
      <c r="C24" s="11"/>
      <c r="D24" s="48"/>
      <c r="E24" s="46"/>
      <c r="F24" s="46"/>
      <c r="G24" s="49"/>
      <c r="H24" s="48"/>
      <c r="I24" s="46"/>
      <c r="J24" s="46"/>
      <c r="K24" s="50"/>
      <c r="L24" s="48"/>
      <c r="M24" s="46"/>
      <c r="N24" s="46"/>
      <c r="O24" s="51"/>
    </row>
    <row r="25" spans="1:17" x14ac:dyDescent="0.25">
      <c r="A25" s="29" t="s">
        <v>28</v>
      </c>
      <c r="B25" s="25" t="s">
        <v>29</v>
      </c>
      <c r="C25" s="11"/>
      <c r="D25" s="48"/>
      <c r="E25" s="46"/>
      <c r="F25" s="46"/>
      <c r="G25" s="49"/>
      <c r="H25" s="48"/>
      <c r="I25" s="46"/>
      <c r="J25" s="46"/>
      <c r="K25" s="50"/>
      <c r="L25" s="48"/>
      <c r="M25" s="46"/>
      <c r="N25" s="46"/>
      <c r="O25" s="51"/>
    </row>
    <row r="26" spans="1:17" x14ac:dyDescent="0.25">
      <c r="A26" s="29" t="s">
        <v>31</v>
      </c>
      <c r="B26" s="25" t="s">
        <v>32</v>
      </c>
      <c r="C26" s="11"/>
      <c r="D26" s="48"/>
      <c r="E26" s="46"/>
      <c r="F26" s="46"/>
      <c r="G26" s="49"/>
      <c r="H26" s="48"/>
      <c r="I26" s="46"/>
      <c r="J26" s="46"/>
      <c r="K26" s="50"/>
      <c r="L26" s="48"/>
      <c r="M26" s="46"/>
      <c r="N26" s="46"/>
      <c r="O26" s="51"/>
    </row>
    <row r="27" spans="1:17" x14ac:dyDescent="0.25">
      <c r="A27" s="29" t="s">
        <v>33</v>
      </c>
      <c r="B27" s="25" t="s">
        <v>34</v>
      </c>
      <c r="C27" s="11"/>
      <c r="D27" s="48"/>
      <c r="E27" s="46"/>
      <c r="F27" s="46"/>
      <c r="G27" s="49"/>
      <c r="H27" s="48"/>
      <c r="I27" s="46"/>
      <c r="J27" s="46"/>
      <c r="K27" s="50"/>
      <c r="L27" s="48"/>
      <c r="M27" s="46"/>
      <c r="N27" s="46"/>
      <c r="O27" s="51"/>
    </row>
    <row r="28" spans="1:17" x14ac:dyDescent="0.25">
      <c r="A28" s="29" t="s">
        <v>35</v>
      </c>
      <c r="B28" s="25" t="s">
        <v>36</v>
      </c>
      <c r="C28" s="11"/>
      <c r="D28" s="48"/>
      <c r="E28" s="46"/>
      <c r="F28" s="46"/>
      <c r="G28" s="49"/>
      <c r="H28" s="48"/>
      <c r="I28" s="46"/>
      <c r="J28" s="46"/>
      <c r="K28" s="50"/>
      <c r="L28" s="48"/>
      <c r="M28" s="46"/>
      <c r="N28" s="46"/>
      <c r="O28" s="51"/>
    </row>
    <row r="29" spans="1:17" x14ac:dyDescent="0.25">
      <c r="A29" s="29" t="s">
        <v>37</v>
      </c>
      <c r="B29" s="25" t="s">
        <v>48</v>
      </c>
      <c r="C29" s="11"/>
      <c r="D29" s="48"/>
      <c r="E29" s="46"/>
      <c r="F29" s="46"/>
      <c r="G29" s="49"/>
      <c r="H29" s="48"/>
      <c r="I29" s="46"/>
      <c r="J29" s="46"/>
      <c r="K29" s="50"/>
      <c r="L29" s="48"/>
      <c r="M29" s="46"/>
      <c r="N29" s="46"/>
      <c r="O29" s="51"/>
    </row>
    <row r="30" spans="1:17" x14ac:dyDescent="0.25">
      <c r="A30" s="29" t="s">
        <v>38</v>
      </c>
      <c r="B30" s="25" t="s">
        <v>39</v>
      </c>
      <c r="C30" s="11"/>
      <c r="D30" s="48"/>
      <c r="E30" s="46"/>
      <c r="F30" s="46"/>
      <c r="G30" s="49"/>
      <c r="H30" s="48"/>
      <c r="I30" s="46"/>
      <c r="J30" s="46"/>
      <c r="K30" s="50"/>
      <c r="L30" s="48"/>
      <c r="M30" s="46"/>
      <c r="N30" s="46"/>
      <c r="O30" s="51"/>
    </row>
    <row r="31" spans="1:17" x14ac:dyDescent="0.25">
      <c r="A31" s="29" t="s">
        <v>40</v>
      </c>
      <c r="B31" s="25" t="s">
        <v>41</v>
      </c>
      <c r="C31" s="11"/>
      <c r="D31" s="48"/>
      <c r="E31" s="46"/>
      <c r="F31" s="46"/>
      <c r="G31" s="49"/>
      <c r="H31" s="48"/>
      <c r="I31" s="46"/>
      <c r="J31" s="46"/>
      <c r="K31" s="50"/>
      <c r="L31" s="48"/>
      <c r="M31" s="46"/>
      <c r="N31" s="46"/>
      <c r="O31" s="51"/>
      <c r="Q31" s="4"/>
    </row>
    <row r="32" spans="1:17" x14ac:dyDescent="0.25">
      <c r="A32" s="29" t="s">
        <v>42</v>
      </c>
      <c r="B32" s="25" t="s">
        <v>43</v>
      </c>
      <c r="C32" s="11"/>
      <c r="D32" s="48"/>
      <c r="E32" s="46"/>
      <c r="F32" s="46"/>
      <c r="G32" s="49"/>
      <c r="H32" s="48"/>
      <c r="I32" s="46"/>
      <c r="J32" s="46"/>
      <c r="K32" s="50"/>
      <c r="L32" s="48"/>
      <c r="M32" s="46"/>
      <c r="N32" s="46"/>
      <c r="O32" s="51"/>
      <c r="P32" s="4"/>
    </row>
    <row r="33" spans="1:15" x14ac:dyDescent="0.25">
      <c r="A33" s="29" t="s">
        <v>44</v>
      </c>
      <c r="B33" s="25" t="s">
        <v>45</v>
      </c>
      <c r="C33" s="11"/>
      <c r="D33" s="48"/>
      <c r="E33" s="46"/>
      <c r="F33" s="46"/>
      <c r="G33" s="49"/>
      <c r="H33" s="48"/>
      <c r="I33" s="46"/>
      <c r="J33" s="46"/>
      <c r="K33" s="50"/>
      <c r="L33" s="48"/>
      <c r="M33" s="46"/>
      <c r="N33" s="46"/>
      <c r="O33" s="51"/>
    </row>
    <row r="34" spans="1:15" x14ac:dyDescent="0.25">
      <c r="A34" s="29" t="s">
        <v>46</v>
      </c>
      <c r="B34" s="25" t="s">
        <v>47</v>
      </c>
      <c r="C34" s="11"/>
      <c r="D34" s="48"/>
      <c r="E34" s="46"/>
      <c r="F34" s="46"/>
      <c r="G34" s="49"/>
      <c r="H34" s="48"/>
      <c r="I34" s="46"/>
      <c r="J34" s="46"/>
      <c r="K34" s="50"/>
      <c r="L34" s="48"/>
      <c r="M34" s="46"/>
      <c r="N34" s="46"/>
      <c r="O34" s="51"/>
    </row>
    <row r="35" spans="1:15" ht="13" thickBot="1" x14ac:dyDescent="0.3">
      <c r="A35" s="30" t="s">
        <v>18</v>
      </c>
      <c r="B35" s="26" t="s">
        <v>24</v>
      </c>
      <c r="C35" s="11"/>
      <c r="D35" s="40">
        <f>ROUND(ROUND(1483*ROUND($I$2/$I$1,3),0),0)</f>
        <v>1519</v>
      </c>
      <c r="E35" s="46"/>
      <c r="F35" s="52"/>
      <c r="G35" s="43" t="str">
        <f>IF(F35="Yes",D35,"")</f>
        <v/>
      </c>
      <c r="H35" s="40">
        <f>ROUND(ROUND(2963*ROUND($I$2/$I$1,3),0),0)</f>
        <v>3034</v>
      </c>
      <c r="I35" s="46"/>
      <c r="J35" s="52" t="s">
        <v>84</v>
      </c>
      <c r="K35" s="44">
        <f>IF(J35="Yes",H35,"")</f>
        <v>3034</v>
      </c>
      <c r="L35" s="40">
        <f>ROUND(ROUND(3632*ROUND($I$2/$I$1,3),0),0)</f>
        <v>3719</v>
      </c>
      <c r="M35" s="46"/>
      <c r="N35" s="52" t="s">
        <v>84</v>
      </c>
      <c r="O35" s="45">
        <f>IF(N35="Yes",L35,"")</f>
        <v>3719</v>
      </c>
    </row>
    <row r="36" spans="1:15" ht="13" thickBot="1" x14ac:dyDescent="0.3">
      <c r="A36" s="6"/>
      <c r="B36" s="6"/>
      <c r="C36" s="6"/>
      <c r="D36" s="53"/>
      <c r="E36" s="54"/>
      <c r="F36" s="55"/>
      <c r="G36" s="56"/>
      <c r="H36" s="53"/>
      <c r="I36" s="54"/>
      <c r="J36" s="55"/>
      <c r="K36" s="55"/>
      <c r="L36" s="53"/>
      <c r="M36" s="55"/>
      <c r="N36" s="55"/>
      <c r="O36" s="56"/>
    </row>
    <row r="37" spans="1:15" ht="15.5" thickBot="1" x14ac:dyDescent="0.3">
      <c r="A37" s="6"/>
      <c r="B37" s="13" t="s">
        <v>74</v>
      </c>
      <c r="C37" s="9"/>
      <c r="D37" s="39">
        <f>SUM(D10:D35)</f>
        <v>38917</v>
      </c>
      <c r="E37" s="35"/>
      <c r="F37" s="36"/>
      <c r="G37" s="108">
        <f>SUM(G10:G35)</f>
        <v>14588</v>
      </c>
      <c r="H37" s="39">
        <f>SUM(H10:H35)</f>
        <v>51840</v>
      </c>
      <c r="I37" s="35"/>
      <c r="J37" s="36"/>
      <c r="K37" s="108">
        <f>SUM(K10:K35)</f>
        <v>23353</v>
      </c>
      <c r="L37" s="39">
        <f>SUM(L10:L35)</f>
        <v>59180</v>
      </c>
      <c r="M37" s="36"/>
      <c r="N37" s="36"/>
      <c r="O37" s="108">
        <f>SUM(O10:O35)</f>
        <v>28467</v>
      </c>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t="s">
        <v>84</v>
      </c>
      <c r="E40" s="6"/>
      <c r="F40" s="6"/>
      <c r="G40" s="6"/>
      <c r="H40" s="6"/>
      <c r="I40" s="6"/>
      <c r="J40" s="6"/>
      <c r="K40" s="6"/>
      <c r="L40" s="6"/>
      <c r="M40" s="6"/>
      <c r="N40" s="6"/>
      <c r="O40" s="6"/>
    </row>
    <row r="41" spans="1:15" x14ac:dyDescent="0.25">
      <c r="A41" s="6"/>
      <c r="B41" s="6"/>
      <c r="C41" s="6"/>
      <c r="D41" s="6" t="s">
        <v>85</v>
      </c>
      <c r="E41" s="6"/>
      <c r="F41" s="6"/>
      <c r="G41" s="6"/>
      <c r="H41" s="6"/>
      <c r="I41" s="6"/>
      <c r="J41" s="6"/>
      <c r="K41" s="6"/>
      <c r="L41" s="6"/>
      <c r="M41" s="6"/>
      <c r="N41" s="6"/>
      <c r="O41" s="6"/>
    </row>
    <row r="42" spans="1:15" x14ac:dyDescent="0.25">
      <c r="A42" s="6"/>
      <c r="B42" s="6"/>
      <c r="C42" s="6"/>
      <c r="D42" s="6"/>
      <c r="E42" s="6"/>
      <c r="F42" s="6"/>
      <c r="G42" s="6"/>
      <c r="H42" s="6"/>
      <c r="I42" s="6"/>
      <c r="J42" s="6"/>
      <c r="K42" s="6"/>
      <c r="L42" s="6"/>
      <c r="M42" s="6"/>
      <c r="N42" s="6"/>
      <c r="O42" s="6"/>
    </row>
    <row r="43" spans="1:15" x14ac:dyDescent="0.25">
      <c r="A43" s="6"/>
      <c r="B43" s="6"/>
      <c r="C43" s="6"/>
      <c r="D43" s="6" t="s">
        <v>49</v>
      </c>
      <c r="E43" s="6"/>
      <c r="F43" s="6"/>
      <c r="G43" s="6"/>
      <c r="H43" s="6"/>
      <c r="I43" s="6"/>
      <c r="J43" s="6"/>
      <c r="K43" s="6"/>
      <c r="L43" s="6"/>
      <c r="M43" s="6"/>
      <c r="N43" s="6"/>
      <c r="O43" s="6"/>
    </row>
    <row r="44" spans="1:15" x14ac:dyDescent="0.25">
      <c r="A44" s="6"/>
      <c r="B44" s="6"/>
      <c r="C44" s="6"/>
      <c r="D44" s="6" t="s">
        <v>30</v>
      </c>
      <c r="E44" s="9" t="s">
        <v>75</v>
      </c>
      <c r="F44" s="9"/>
      <c r="G44" s="9"/>
      <c r="H44" s="6"/>
      <c r="I44" s="6"/>
      <c r="J44" s="6"/>
      <c r="K44" s="6"/>
      <c r="L44" s="6"/>
      <c r="M44" s="6"/>
      <c r="N44" s="6"/>
      <c r="O44" s="6"/>
    </row>
    <row r="45" spans="1:15" x14ac:dyDescent="0.25">
      <c r="A45" s="6"/>
      <c r="B45" s="6"/>
      <c r="C45" s="6"/>
      <c r="D45" s="14"/>
      <c r="E45" s="6" t="s">
        <v>66</v>
      </c>
      <c r="F45" s="6"/>
      <c r="G45" s="6"/>
      <c r="H45" s="6"/>
      <c r="I45" s="6"/>
      <c r="J45" s="6"/>
      <c r="K45" s="6"/>
      <c r="L45" s="6"/>
      <c r="M45" s="6"/>
      <c r="N45" s="6"/>
      <c r="O45" s="6"/>
    </row>
    <row r="46" spans="1:15" x14ac:dyDescent="0.25">
      <c r="A46" s="6"/>
      <c r="B46" s="6"/>
      <c r="C46" s="6"/>
      <c r="D46" s="6"/>
      <c r="E46" s="114" t="s">
        <v>76</v>
      </c>
      <c r="F46" s="114"/>
      <c r="G46" s="114"/>
      <c r="H46" s="114"/>
      <c r="I46" s="114"/>
      <c r="J46" s="114"/>
      <c r="K46" s="114"/>
      <c r="L46" s="114"/>
      <c r="M46" s="114"/>
      <c r="N46" s="114"/>
      <c r="O46" s="114"/>
    </row>
    <row r="47" spans="1:15" x14ac:dyDescent="0.25">
      <c r="A47" s="6"/>
      <c r="B47" s="6"/>
      <c r="C47" s="6"/>
      <c r="D47" s="6"/>
      <c r="E47" s="6"/>
      <c r="F47" s="6"/>
      <c r="G47" s="6"/>
      <c r="H47" s="6"/>
      <c r="I47" s="6"/>
      <c r="J47" s="6"/>
      <c r="K47" s="6"/>
      <c r="L47" s="6"/>
      <c r="M47" s="6"/>
      <c r="N47" s="6"/>
      <c r="O47" s="6"/>
    </row>
    <row r="48" spans="1:15" x14ac:dyDescent="0.25">
      <c r="A48" s="6"/>
      <c r="B48" s="6"/>
      <c r="C48" s="6"/>
      <c r="D48" s="6" t="s">
        <v>72</v>
      </c>
      <c r="E48" s="16" t="s">
        <v>73</v>
      </c>
      <c r="F48" s="16"/>
      <c r="G48" s="16"/>
      <c r="H48" s="6"/>
      <c r="I48" s="7"/>
      <c r="J48" s="7"/>
      <c r="K48" s="7"/>
      <c r="L48" s="6"/>
      <c r="M48" s="6"/>
      <c r="N48" s="6"/>
      <c r="O48" s="6"/>
    </row>
    <row r="49" spans="1:15" x14ac:dyDescent="0.25">
      <c r="A49" s="6"/>
      <c r="B49" s="6"/>
      <c r="C49" s="6"/>
      <c r="D49" s="6"/>
      <c r="E49" s="16" t="s">
        <v>57</v>
      </c>
      <c r="F49" s="16"/>
      <c r="G49" s="16"/>
      <c r="H49" s="6"/>
      <c r="I49" s="6"/>
      <c r="J49" s="6"/>
      <c r="K49" s="6"/>
      <c r="L49" s="6"/>
      <c r="M49" s="6"/>
      <c r="N49" s="6"/>
      <c r="O49" s="6"/>
    </row>
    <row r="50" spans="1:15" x14ac:dyDescent="0.25">
      <c r="A50" s="6"/>
      <c r="B50" s="6"/>
      <c r="C50" s="6"/>
      <c r="D50" s="6"/>
      <c r="E50" s="16" t="s">
        <v>71</v>
      </c>
      <c r="F50" s="16"/>
      <c r="G50" s="16"/>
      <c r="H50" s="6"/>
      <c r="I50" s="6"/>
      <c r="J50" s="6"/>
      <c r="K50" s="6"/>
      <c r="L50" s="6"/>
      <c r="M50" s="6"/>
      <c r="N50" s="6"/>
      <c r="O50" s="6"/>
    </row>
    <row r="51" spans="1:15" x14ac:dyDescent="0.25">
      <c r="A51" s="6"/>
      <c r="B51" s="6"/>
      <c r="C51" s="6"/>
      <c r="D51" s="6"/>
      <c r="E51" s="16" t="s">
        <v>58</v>
      </c>
      <c r="F51" s="16"/>
      <c r="G51" s="16"/>
      <c r="H51" s="6"/>
      <c r="I51" s="6"/>
      <c r="J51" s="6"/>
      <c r="K51" s="6"/>
      <c r="L51" s="6"/>
      <c r="M51" s="6"/>
      <c r="N51" s="6"/>
      <c r="O51" s="6"/>
    </row>
    <row r="52" spans="1:15" x14ac:dyDescent="0.25">
      <c r="A52" s="6"/>
      <c r="B52" s="6"/>
      <c r="C52" s="6"/>
      <c r="D52" s="6"/>
      <c r="E52" s="16" t="s">
        <v>59</v>
      </c>
      <c r="F52" s="16"/>
      <c r="G52" s="16"/>
      <c r="H52" s="6"/>
      <c r="I52" s="6"/>
      <c r="J52" s="6"/>
      <c r="K52" s="6"/>
      <c r="L52" s="6"/>
      <c r="M52" s="6"/>
      <c r="N52" s="6"/>
      <c r="O52" s="6"/>
    </row>
    <row r="53" spans="1:15" x14ac:dyDescent="0.25">
      <c r="A53" s="6"/>
      <c r="B53" s="6"/>
      <c r="C53" s="6"/>
      <c r="D53" s="6"/>
      <c r="E53" s="16" t="s">
        <v>60</v>
      </c>
      <c r="F53" s="16"/>
      <c r="G53" s="16"/>
      <c r="H53" s="6"/>
      <c r="I53" s="6"/>
      <c r="J53" s="6"/>
      <c r="K53" s="6"/>
      <c r="L53" s="6"/>
      <c r="M53" s="6"/>
      <c r="N53" s="6"/>
      <c r="O53" s="6"/>
    </row>
    <row r="54" spans="1:15" x14ac:dyDescent="0.25">
      <c r="A54" s="6"/>
      <c r="B54" s="6"/>
      <c r="C54" s="6"/>
      <c r="D54" s="6"/>
      <c r="E54" s="6"/>
      <c r="F54" s="6"/>
      <c r="G54" s="6"/>
      <c r="H54" s="6"/>
      <c r="I54" s="6"/>
      <c r="J54" s="6"/>
      <c r="K54" s="6"/>
      <c r="L54" s="6"/>
      <c r="M54" s="6"/>
      <c r="N54" s="6"/>
      <c r="O54" s="6"/>
    </row>
    <row r="55" spans="1:15" x14ac:dyDescent="0.25">
      <c r="A55" s="6"/>
      <c r="B55" s="6"/>
      <c r="C55" s="6"/>
      <c r="D55" s="6"/>
      <c r="E55" s="6" t="s">
        <v>77</v>
      </c>
      <c r="F55" s="6"/>
      <c r="G55" s="6"/>
      <c r="H55" s="6"/>
      <c r="I55" s="6"/>
      <c r="J55" s="6"/>
      <c r="K55" s="6"/>
      <c r="L55" s="6"/>
      <c r="M55" s="6"/>
      <c r="N55" s="6"/>
      <c r="O55" s="6"/>
    </row>
    <row r="56" spans="1:15" x14ac:dyDescent="0.25">
      <c r="A56" s="6"/>
      <c r="B56" s="6"/>
      <c r="C56" s="6"/>
      <c r="D56" s="6"/>
      <c r="E56" s="6"/>
      <c r="F56" s="6"/>
      <c r="G56" s="6"/>
      <c r="H56" s="6"/>
      <c r="I56" s="6"/>
      <c r="J56" s="6"/>
      <c r="K56" s="6"/>
      <c r="L56" s="6"/>
      <c r="M56" s="6"/>
      <c r="N56" s="6"/>
      <c r="O56" s="6"/>
    </row>
  </sheetData>
  <sheetProtection selectLockedCells="1"/>
  <mergeCells count="7">
    <mergeCell ref="D7:G7"/>
    <mergeCell ref="D8:G8"/>
    <mergeCell ref="D6:O6"/>
    <mergeCell ref="L8:O8"/>
    <mergeCell ref="H8:K8"/>
    <mergeCell ref="L7:O7"/>
    <mergeCell ref="H7:K7"/>
  </mergeCells>
  <phoneticPr fontId="4" type="noConversion"/>
  <dataValidations count="1">
    <dataValidation type="list" allowBlank="1" showInputMessage="1" showErrorMessage="1" sqref="F22:F23 F19:F20 N35 J10:J17 J19:J20 J22:J23 N22:N23 N19:N20 F10:F17 F35 J35 N10:N17" xr:uid="{00000000-0002-0000-0100-000000000000}">
      <formula1>$D$40:$D$41</formula1>
    </dataValidation>
  </dataValidations>
  <pageMargins left="0.39" right="0.37" top="0.52" bottom="0.49" header="0.5" footer="0.5"/>
  <pageSetup paperSize="9" scale="60" orientation="landscape" r:id="rId1"/>
  <headerFooter alignWithMargins="0">
    <oddHeader>&amp;C&amp;"Calibri"&amp;12&amp;KC00000 OFFICIAL&amp;1#_x000D_</oddHeader>
    <oddFooter>&amp;C_x000D_&amp;1#&amp;"Calibri"&amp;12&amp;KC00000 OFFICIAL</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56"/>
  <sheetViews>
    <sheetView zoomScale="80" zoomScaleNormal="80" workbookViewId="0">
      <selection activeCell="L35" sqref="L35"/>
    </sheetView>
  </sheetViews>
  <sheetFormatPr defaultRowHeight="12.5" x14ac:dyDescent="0.25"/>
  <cols>
    <col min="1" max="1" width="8" customWidth="1"/>
    <col min="2" max="2" width="31.26953125" bestFit="1" customWidth="1"/>
    <col min="3" max="3" width="6.54296875" customWidth="1"/>
    <col min="4" max="15" width="15.7265625" customWidth="1"/>
  </cols>
  <sheetData>
    <row r="1" spans="1:15" x14ac:dyDescent="0.25">
      <c r="D1" s="21"/>
      <c r="I1">
        <v>137.4</v>
      </c>
    </row>
    <row r="2" spans="1:15" x14ac:dyDescent="0.25">
      <c r="I2">
        <v>140.69999999999999</v>
      </c>
      <c r="L2" s="5"/>
    </row>
    <row r="3" spans="1:15" x14ac:dyDescent="0.25">
      <c r="E3" s="1"/>
      <c r="F3" s="1"/>
      <c r="G3" s="1"/>
      <c r="L3" s="5"/>
    </row>
    <row r="4" spans="1:15" x14ac:dyDescent="0.25">
      <c r="A4" s="6"/>
      <c r="B4" s="19" t="s">
        <v>27</v>
      </c>
      <c r="C4" s="19"/>
      <c r="D4" s="20">
        <v>521</v>
      </c>
      <c r="E4" s="8"/>
      <c r="F4" s="8"/>
      <c r="G4" s="8"/>
      <c r="H4" s="6"/>
      <c r="I4" s="6"/>
      <c r="J4" s="6"/>
      <c r="K4" s="6"/>
      <c r="L4" s="6"/>
      <c r="M4" s="6"/>
      <c r="N4" s="6"/>
      <c r="O4" s="6"/>
    </row>
    <row r="5" spans="1:15" ht="13" thickBot="1" x14ac:dyDescent="0.3">
      <c r="A5" s="6"/>
      <c r="B5" s="6"/>
      <c r="C5" s="9"/>
      <c r="D5" s="9"/>
      <c r="E5" s="9"/>
      <c r="F5" s="9"/>
      <c r="G5" s="9"/>
      <c r="H5" s="9"/>
      <c r="I5" s="9"/>
      <c r="J5" s="9"/>
      <c r="K5" s="9"/>
      <c r="L5" s="9"/>
      <c r="M5" s="9"/>
      <c r="N5" s="9"/>
      <c r="O5" s="9"/>
    </row>
    <row r="6" spans="1:15" s="3" customFormat="1" ht="35.5" thickBot="1" x14ac:dyDescent="0.3">
      <c r="A6" s="23" t="s">
        <v>83</v>
      </c>
      <c r="B6" s="22" t="s">
        <v>82</v>
      </c>
      <c r="C6" s="10"/>
      <c r="D6" s="140" t="s">
        <v>91</v>
      </c>
      <c r="E6" s="141"/>
      <c r="F6" s="141"/>
      <c r="G6" s="141"/>
      <c r="H6" s="141"/>
      <c r="I6" s="141"/>
      <c r="J6" s="141"/>
      <c r="K6" s="141"/>
      <c r="L6" s="141"/>
      <c r="M6" s="141"/>
      <c r="N6" s="141"/>
      <c r="O6" s="142"/>
    </row>
    <row r="7" spans="1:15" ht="16" thickBot="1" x14ac:dyDescent="0.4">
      <c r="A7" s="6"/>
      <c r="B7" s="6"/>
      <c r="C7" s="9"/>
      <c r="D7" s="134" t="s">
        <v>0</v>
      </c>
      <c r="E7" s="135"/>
      <c r="F7" s="135"/>
      <c r="G7" s="136"/>
      <c r="H7" s="134" t="s">
        <v>1</v>
      </c>
      <c r="I7" s="135"/>
      <c r="J7" s="135"/>
      <c r="K7" s="136"/>
      <c r="L7" s="134" t="s">
        <v>2</v>
      </c>
      <c r="M7" s="135"/>
      <c r="N7" s="135"/>
      <c r="O7" s="136"/>
    </row>
    <row r="8" spans="1:15" ht="129.75" customHeight="1" x14ac:dyDescent="0.25">
      <c r="A8" s="6"/>
      <c r="B8" s="6"/>
      <c r="C8" s="9"/>
      <c r="D8" s="137" t="s">
        <v>92</v>
      </c>
      <c r="E8" s="138"/>
      <c r="F8" s="138"/>
      <c r="G8" s="139"/>
      <c r="H8" s="137" t="s">
        <v>93</v>
      </c>
      <c r="I8" s="143"/>
      <c r="J8" s="143"/>
      <c r="K8" s="143"/>
      <c r="L8" s="137" t="s">
        <v>94</v>
      </c>
      <c r="M8" s="143"/>
      <c r="N8" s="143"/>
      <c r="O8" s="139"/>
    </row>
    <row r="9" spans="1:15" ht="25.5" thickBot="1" x14ac:dyDescent="0.3">
      <c r="A9" s="6"/>
      <c r="B9" s="6"/>
      <c r="C9" s="9"/>
      <c r="D9" s="31" t="s">
        <v>25</v>
      </c>
      <c r="E9" s="32" t="s">
        <v>26</v>
      </c>
      <c r="F9" s="33" t="s">
        <v>86</v>
      </c>
      <c r="G9" s="34" t="s">
        <v>90</v>
      </c>
      <c r="H9" s="31" t="s">
        <v>25</v>
      </c>
      <c r="I9" s="32" t="s">
        <v>26</v>
      </c>
      <c r="J9" s="33" t="s">
        <v>86</v>
      </c>
      <c r="K9" s="37" t="s">
        <v>90</v>
      </c>
      <c r="L9" s="31" t="s">
        <v>25</v>
      </c>
      <c r="M9" s="38" t="s">
        <v>26</v>
      </c>
      <c r="N9" s="33" t="s">
        <v>86</v>
      </c>
      <c r="O9" s="34" t="s">
        <v>90</v>
      </c>
    </row>
    <row r="10" spans="1:15" x14ac:dyDescent="0.25">
      <c r="A10" s="27" t="s">
        <v>3</v>
      </c>
      <c r="B10" s="24" t="s">
        <v>79</v>
      </c>
      <c r="C10" s="11"/>
      <c r="D10" s="40">
        <f>ROUND((763*(1.0240175)),0)</f>
        <v>781</v>
      </c>
      <c r="E10" s="41"/>
      <c r="F10" s="107" t="s">
        <v>84</v>
      </c>
      <c r="G10" s="43">
        <f t="shared" ref="G10:G18" si="0">IF(F10="Yes",D10,"")</f>
        <v>781</v>
      </c>
      <c r="H10" s="40">
        <f>ROUND((763*(1.0240175)),0)</f>
        <v>781</v>
      </c>
      <c r="I10" s="41"/>
      <c r="J10" s="107" t="s">
        <v>84</v>
      </c>
      <c r="K10" s="44">
        <f t="shared" ref="K10:K16" si="1">IF(J10="Yes",H10,"")</f>
        <v>781</v>
      </c>
      <c r="L10" s="40">
        <f>ROUND(763*(1.0240175),0)</f>
        <v>781</v>
      </c>
      <c r="M10" s="41"/>
      <c r="N10" s="107" t="s">
        <v>84</v>
      </c>
      <c r="O10" s="45">
        <f t="shared" ref="O10:O18" si="2">IF(N10="Yes",L10,"")</f>
        <v>781</v>
      </c>
    </row>
    <row r="11" spans="1:15" x14ac:dyDescent="0.25">
      <c r="A11" s="110" t="s">
        <v>4</v>
      </c>
      <c r="B11" s="111" t="s">
        <v>80</v>
      </c>
      <c r="C11" s="12"/>
      <c r="D11" s="112">
        <f>ROUND(E11*$D$4,0)</f>
        <v>1563</v>
      </c>
      <c r="E11" s="113">
        <v>3</v>
      </c>
      <c r="F11" s="113" t="s">
        <v>84</v>
      </c>
      <c r="G11" s="109">
        <f t="shared" si="0"/>
        <v>1563</v>
      </c>
      <c r="H11" s="112">
        <f>ROUND(I11*$D$4,0)</f>
        <v>2345</v>
      </c>
      <c r="I11" s="113">
        <v>4.5</v>
      </c>
      <c r="J11" s="107" t="s">
        <v>84</v>
      </c>
      <c r="K11" s="44">
        <f t="shared" si="1"/>
        <v>2345</v>
      </c>
      <c r="L11" s="112">
        <f>ROUND(M11*$D$4,0)</f>
        <v>3126</v>
      </c>
      <c r="M11" s="113">
        <v>6</v>
      </c>
      <c r="N11" s="107" t="s">
        <v>84</v>
      </c>
      <c r="O11" s="45">
        <f t="shared" si="2"/>
        <v>3126</v>
      </c>
    </row>
    <row r="12" spans="1:15" x14ac:dyDescent="0.25">
      <c r="A12" s="110" t="s">
        <v>5</v>
      </c>
      <c r="B12" s="111" t="s">
        <v>81</v>
      </c>
      <c r="C12" s="12"/>
      <c r="D12" s="112">
        <f>ROUND(E12*$D$4,0)</f>
        <v>4950</v>
      </c>
      <c r="E12" s="113">
        <v>9.5</v>
      </c>
      <c r="F12" s="113" t="s">
        <v>84</v>
      </c>
      <c r="G12" s="109">
        <f t="shared" si="0"/>
        <v>4950</v>
      </c>
      <c r="H12" s="112">
        <f>ROUND(I12*$D$4,0)</f>
        <v>8857</v>
      </c>
      <c r="I12" s="113">
        <v>17</v>
      </c>
      <c r="J12" s="107" t="s">
        <v>84</v>
      </c>
      <c r="K12" s="44">
        <f t="shared" si="1"/>
        <v>8857</v>
      </c>
      <c r="L12" s="112">
        <f>ROUND(M12*$D$4,0)</f>
        <v>9639</v>
      </c>
      <c r="M12" s="113">
        <v>18.5</v>
      </c>
      <c r="N12" s="107" t="s">
        <v>84</v>
      </c>
      <c r="O12" s="45">
        <f t="shared" si="2"/>
        <v>9639</v>
      </c>
    </row>
    <row r="13" spans="1:15" x14ac:dyDescent="0.25">
      <c r="A13" s="110" t="s">
        <v>19</v>
      </c>
      <c r="B13" s="111" t="s">
        <v>20</v>
      </c>
      <c r="C13" s="12"/>
      <c r="D13" s="112">
        <f>ROUND(E13*$D$4,0)</f>
        <v>2084</v>
      </c>
      <c r="E13" s="113">
        <v>4</v>
      </c>
      <c r="F13" s="113" t="s">
        <v>84</v>
      </c>
      <c r="G13" s="109">
        <f t="shared" si="0"/>
        <v>2084</v>
      </c>
      <c r="H13" s="112">
        <f>ROUND(I13*$D$4,0)</f>
        <v>2605</v>
      </c>
      <c r="I13" s="113">
        <v>5</v>
      </c>
      <c r="J13" s="107" t="s">
        <v>84</v>
      </c>
      <c r="K13" s="44">
        <f t="shared" si="1"/>
        <v>2605</v>
      </c>
      <c r="L13" s="112">
        <f>ROUND(M13*$D$4,0)</f>
        <v>3126</v>
      </c>
      <c r="M13" s="113">
        <v>6</v>
      </c>
      <c r="N13" s="107" t="s">
        <v>84</v>
      </c>
      <c r="O13" s="45">
        <f t="shared" si="2"/>
        <v>3126</v>
      </c>
    </row>
    <row r="14" spans="1:15" x14ac:dyDescent="0.25">
      <c r="A14" s="110" t="s">
        <v>21</v>
      </c>
      <c r="B14" s="111" t="s">
        <v>78</v>
      </c>
      <c r="C14" s="12"/>
      <c r="D14" s="112">
        <f>ROUND(E14*$D$4,0)</f>
        <v>1563</v>
      </c>
      <c r="E14" s="113">
        <v>3</v>
      </c>
      <c r="F14" s="113" t="s">
        <v>84</v>
      </c>
      <c r="G14" s="109">
        <f t="shared" si="0"/>
        <v>1563</v>
      </c>
      <c r="H14" s="112">
        <f>ROUND(I14*$D$4,0)</f>
        <v>2605</v>
      </c>
      <c r="I14" s="113">
        <v>5</v>
      </c>
      <c r="J14" s="107" t="s">
        <v>84</v>
      </c>
      <c r="K14" s="44">
        <f t="shared" si="1"/>
        <v>2605</v>
      </c>
      <c r="L14" s="112">
        <f>ROUND(M14*$D$4,0)</f>
        <v>3126</v>
      </c>
      <c r="M14" s="113">
        <v>6</v>
      </c>
      <c r="N14" s="107" t="s">
        <v>84</v>
      </c>
      <c r="O14" s="45">
        <f t="shared" si="2"/>
        <v>3126</v>
      </c>
    </row>
    <row r="15" spans="1:15" x14ac:dyDescent="0.25">
      <c r="A15" s="110" t="s">
        <v>22</v>
      </c>
      <c r="B15" s="111" t="s">
        <v>23</v>
      </c>
      <c r="C15" s="12"/>
      <c r="D15" s="112">
        <f>ROUND(E15*$D$4,0)</f>
        <v>2605</v>
      </c>
      <c r="E15" s="113">
        <v>5</v>
      </c>
      <c r="F15" s="113" t="s">
        <v>84</v>
      </c>
      <c r="G15" s="109">
        <f t="shared" si="0"/>
        <v>2605</v>
      </c>
      <c r="H15" s="112">
        <f>ROUND(I15*$D$4,0)</f>
        <v>4168</v>
      </c>
      <c r="I15" s="113">
        <v>8</v>
      </c>
      <c r="J15" s="107" t="s">
        <v>84</v>
      </c>
      <c r="K15" s="44">
        <f t="shared" si="1"/>
        <v>4168</v>
      </c>
      <c r="L15" s="112">
        <f>ROUND(M15*$D$4,0)</f>
        <v>5210</v>
      </c>
      <c r="M15" s="113">
        <v>10</v>
      </c>
      <c r="N15" s="107" t="s">
        <v>84</v>
      </c>
      <c r="O15" s="45">
        <f t="shared" si="2"/>
        <v>5210</v>
      </c>
    </row>
    <row r="16" spans="1:15" x14ac:dyDescent="0.25">
      <c r="A16" s="29" t="s">
        <v>6</v>
      </c>
      <c r="B16" s="25" t="s">
        <v>7</v>
      </c>
      <c r="C16" s="11"/>
      <c r="D16" s="40">
        <f>ROUND(ROUND(4491*ROUND($I$2/$I$1,3),0),0)</f>
        <v>4599</v>
      </c>
      <c r="E16" s="46"/>
      <c r="F16" s="60" t="s">
        <v>85</v>
      </c>
      <c r="G16" s="43" t="str">
        <f t="shared" si="0"/>
        <v/>
      </c>
      <c r="H16" s="40">
        <f>ROUND(ROUND(5832*ROUND($I$2/$I$1,3),0),0)</f>
        <v>5972</v>
      </c>
      <c r="I16" s="46"/>
      <c r="J16" s="47" t="s">
        <v>85</v>
      </c>
      <c r="K16" s="44" t="str">
        <f t="shared" si="1"/>
        <v/>
      </c>
      <c r="L16" s="40">
        <f>ROUND(ROUND(6066*ROUND($I$2/$I$1,3),0),0)</f>
        <v>6212</v>
      </c>
      <c r="M16" s="46"/>
      <c r="N16" s="47" t="s">
        <v>85</v>
      </c>
      <c r="O16" s="45" t="str">
        <f t="shared" si="2"/>
        <v/>
      </c>
    </row>
    <row r="17" spans="1:17" x14ac:dyDescent="0.25">
      <c r="A17" s="29" t="s">
        <v>8</v>
      </c>
      <c r="B17" s="25" t="s">
        <v>9</v>
      </c>
      <c r="C17" s="11"/>
      <c r="D17" s="40">
        <f>ROUND(ROUND(2473*ROUND($I$2/$I$1,3),0),0)</f>
        <v>2532</v>
      </c>
      <c r="E17" s="46"/>
      <c r="F17" s="60" t="s">
        <v>85</v>
      </c>
      <c r="G17" s="43" t="str">
        <f t="shared" si="0"/>
        <v/>
      </c>
      <c r="H17" s="40">
        <f>ROUND(ROUND(3077*ROUND($I$2/$I$1,3),0),0)</f>
        <v>3151</v>
      </c>
      <c r="I17" s="46"/>
      <c r="J17" s="47" t="s">
        <v>85</v>
      </c>
      <c r="K17" s="44" t="str">
        <f>IF(J18="Yes",H17,"")</f>
        <v/>
      </c>
      <c r="L17" s="40">
        <f>ROUND(ROUND(3887*ROUND($I$2/$I$1,3),0),0)</f>
        <v>3980</v>
      </c>
      <c r="M17" s="46"/>
      <c r="N17" s="47" t="s">
        <v>85</v>
      </c>
      <c r="O17" s="45" t="str">
        <f t="shared" si="2"/>
        <v/>
      </c>
    </row>
    <row r="18" spans="1:17" x14ac:dyDescent="0.25">
      <c r="A18" s="29" t="s">
        <v>67</v>
      </c>
      <c r="B18" s="25" t="s">
        <v>68</v>
      </c>
      <c r="C18" s="11"/>
      <c r="D18" s="40">
        <f>ROUND(ROUND(7520*ROUND($I$2/$I$1,3),0),0)</f>
        <v>7700</v>
      </c>
      <c r="E18" s="46"/>
      <c r="F18" s="60" t="s">
        <v>85</v>
      </c>
      <c r="G18" s="43" t="str">
        <f t="shared" si="0"/>
        <v/>
      </c>
      <c r="H18" s="40">
        <f>ROUND(ROUND(8099*ROUND($I$2/$I$1,3),0),0)</f>
        <v>8293</v>
      </c>
      <c r="I18" s="46"/>
      <c r="J18" s="47" t="s">
        <v>85</v>
      </c>
      <c r="K18" s="58"/>
      <c r="L18" s="40">
        <f>ROUND(ROUND(8795*ROUND($I$2/$I$1,3),0),0)</f>
        <v>9006</v>
      </c>
      <c r="M18" s="46"/>
      <c r="N18" s="47" t="s">
        <v>85</v>
      </c>
      <c r="O18" s="45" t="str">
        <f t="shared" si="2"/>
        <v/>
      </c>
    </row>
    <row r="19" spans="1:17" x14ac:dyDescent="0.25">
      <c r="A19" s="29" t="s">
        <v>10</v>
      </c>
      <c r="B19" s="25" t="s">
        <v>11</v>
      </c>
      <c r="C19" s="11"/>
      <c r="D19" s="40">
        <f>ROUND(ROUND(1852*ROUND($I$2/$I$1,3),0),0)</f>
        <v>1896</v>
      </c>
      <c r="E19" s="46"/>
      <c r="F19" s="60" t="s">
        <v>85</v>
      </c>
      <c r="G19" s="43" t="str">
        <f t="shared" ref="G19:G24" si="3">IF(F19="Yes",D19,"")</f>
        <v/>
      </c>
      <c r="H19" s="40">
        <f>ROUND(ROUND(2127*ROUND($I$2/$I$1,3),0),0)</f>
        <v>2178</v>
      </c>
      <c r="I19" s="46"/>
      <c r="J19" s="47" t="s">
        <v>85</v>
      </c>
      <c r="K19" s="44" t="str">
        <f t="shared" ref="K19:K20" si="4">IF(J19="Yes",H19,"")</f>
        <v/>
      </c>
      <c r="L19" s="40">
        <f>ROUND(ROUND(2287*ROUND($I$2/$I$1,3),0),0)</f>
        <v>2342</v>
      </c>
      <c r="M19" s="46"/>
      <c r="N19" s="47" t="s">
        <v>85</v>
      </c>
      <c r="O19" s="45" t="str">
        <f t="shared" ref="O19:O20" si="5">IF(N19="Yes",L19,"")</f>
        <v/>
      </c>
    </row>
    <row r="20" spans="1:17" x14ac:dyDescent="0.25">
      <c r="A20" s="29" t="s">
        <v>12</v>
      </c>
      <c r="B20" s="25" t="s">
        <v>13</v>
      </c>
      <c r="C20" s="11"/>
      <c r="D20" s="40">
        <f>ROUND(ROUND(1689*ROUND($I$2/$I$1,3),0),0)</f>
        <v>1730</v>
      </c>
      <c r="E20" s="46"/>
      <c r="F20" s="60" t="s">
        <v>85</v>
      </c>
      <c r="G20" s="43" t="str">
        <f t="shared" si="3"/>
        <v/>
      </c>
      <c r="H20" s="40">
        <f>ROUND(ROUND(1965*ROUND($I$2/$I$1,3),0),0)</f>
        <v>2012</v>
      </c>
      <c r="I20" s="46"/>
      <c r="J20" s="47" t="s">
        <v>85</v>
      </c>
      <c r="K20" s="44" t="str">
        <f t="shared" si="4"/>
        <v/>
      </c>
      <c r="L20" s="40">
        <f>ROUND(ROUND(2407*ROUND($I$2/$I$1,3),0),0)</f>
        <v>2465</v>
      </c>
      <c r="M20" s="46"/>
      <c r="N20" s="47" t="s">
        <v>85</v>
      </c>
      <c r="O20" s="45" t="str">
        <f t="shared" si="5"/>
        <v/>
      </c>
    </row>
    <row r="21" spans="1:17" x14ac:dyDescent="0.25">
      <c r="A21" s="29" t="s">
        <v>69</v>
      </c>
      <c r="B21" s="25" t="s">
        <v>70</v>
      </c>
      <c r="C21" s="11"/>
      <c r="D21" s="40">
        <f>ROUND(ROUND(1689*ROUND($I$2/$I$1,3),0),0)</f>
        <v>1730</v>
      </c>
      <c r="E21" s="46"/>
      <c r="F21" s="60" t="s">
        <v>85</v>
      </c>
      <c r="G21" s="45" t="str">
        <f t="shared" si="3"/>
        <v/>
      </c>
      <c r="H21" s="40">
        <f>ROUND(ROUND(1965*ROUND($I$2/$I$1,3),0),0)</f>
        <v>2012</v>
      </c>
      <c r="I21" s="46"/>
      <c r="J21" s="47" t="s">
        <v>85</v>
      </c>
      <c r="K21" s="58"/>
      <c r="L21" s="40">
        <f>ROUND(ROUND(2407*ROUND($I$2/$I$1,3),0),0)</f>
        <v>2465</v>
      </c>
      <c r="M21" s="46"/>
      <c r="N21" s="47" t="s">
        <v>85</v>
      </c>
      <c r="O21" s="59"/>
    </row>
    <row r="22" spans="1:17" x14ac:dyDescent="0.25">
      <c r="A22" s="29" t="s">
        <v>14</v>
      </c>
      <c r="B22" s="25" t="s">
        <v>15</v>
      </c>
      <c r="C22" s="11"/>
      <c r="D22" s="40">
        <f>ROUND(ROUND(1852*ROUND($I$2/$I$1,3),0),0)</f>
        <v>1896</v>
      </c>
      <c r="E22" s="46"/>
      <c r="F22" s="60" t="s">
        <v>85</v>
      </c>
      <c r="G22" s="43" t="str">
        <f t="shared" si="3"/>
        <v/>
      </c>
      <c r="H22" s="40">
        <f>ROUND(ROUND(2040*ROUND($I$2/$I$1,3),0),0)</f>
        <v>2089</v>
      </c>
      <c r="I22" s="46"/>
      <c r="J22" s="47" t="s">
        <v>85</v>
      </c>
      <c r="K22" s="44" t="str">
        <f t="shared" ref="K22:K23" si="6">IF(J22="Yes",H22,"")</f>
        <v/>
      </c>
      <c r="L22" s="40">
        <f>ROUND(ROUND(2245*ROUND($I$2/$I$1,3),0),0)</f>
        <v>2299</v>
      </c>
      <c r="M22" s="46"/>
      <c r="N22" s="47" t="s">
        <v>85</v>
      </c>
      <c r="O22" s="45" t="str">
        <f t="shared" ref="O22:O23" si="7">IF(N22="Yes",L22,"")</f>
        <v/>
      </c>
    </row>
    <row r="23" spans="1:17" x14ac:dyDescent="0.25">
      <c r="A23" s="29" t="s">
        <v>16</v>
      </c>
      <c r="B23" s="25" t="s">
        <v>17</v>
      </c>
      <c r="C23" s="11"/>
      <c r="D23" s="40">
        <f>ROUND(ROUND(8261*ROUND($I$2/$I$1,3),0),0)</f>
        <v>8459</v>
      </c>
      <c r="E23" s="46"/>
      <c r="F23" s="60" t="s">
        <v>85</v>
      </c>
      <c r="G23" s="43" t="str">
        <f t="shared" si="3"/>
        <v/>
      </c>
      <c r="H23" s="40">
        <f>ROUND(ROUND(9606*ROUND($I$2/$I$1,3),0),0)</f>
        <v>9837</v>
      </c>
      <c r="I23" s="46"/>
      <c r="J23" s="47" t="s">
        <v>85</v>
      </c>
      <c r="K23" s="44" t="str">
        <f t="shared" si="6"/>
        <v/>
      </c>
      <c r="L23" s="40">
        <f>ROUND(ROUND(10809*ROUND($I$2/$I$1,3),0),0)</f>
        <v>11068</v>
      </c>
      <c r="M23" s="46"/>
      <c r="N23" s="47" t="s">
        <v>85</v>
      </c>
      <c r="O23" s="45" t="str">
        <f t="shared" si="7"/>
        <v/>
      </c>
    </row>
    <row r="24" spans="1:17" x14ac:dyDescent="0.25">
      <c r="A24" s="29" t="s">
        <v>61</v>
      </c>
      <c r="B24" s="25" t="s">
        <v>17</v>
      </c>
      <c r="C24" s="11"/>
      <c r="D24" s="40">
        <f>ROUND(ROUND(4118*ROUND($I$2/$I$1,3),0),0)</f>
        <v>4217</v>
      </c>
      <c r="E24" s="46"/>
      <c r="F24" s="60" t="s">
        <v>85</v>
      </c>
      <c r="G24" s="45" t="str">
        <f t="shared" si="3"/>
        <v/>
      </c>
      <c r="H24" s="40">
        <f>ROUND(ROUND(5117*ROUND($I$2/$I$1,3),0),0)</f>
        <v>5240</v>
      </c>
      <c r="I24" s="46"/>
      <c r="J24" s="47" t="s">
        <v>85</v>
      </c>
      <c r="K24" s="58"/>
      <c r="L24" s="40">
        <f>ROUND(ROUND(6157*ROUND($I$2/$I$1,3),0),0)</f>
        <v>6305</v>
      </c>
      <c r="M24" s="46"/>
      <c r="N24" s="46"/>
      <c r="O24" s="51"/>
    </row>
    <row r="25" spans="1:17" x14ac:dyDescent="0.25">
      <c r="A25" s="29" t="s">
        <v>28</v>
      </c>
      <c r="B25" s="25" t="s">
        <v>29</v>
      </c>
      <c r="C25" s="11"/>
      <c r="D25" s="48"/>
      <c r="E25" s="46"/>
      <c r="F25" s="46"/>
      <c r="G25" s="49"/>
      <c r="H25" s="48"/>
      <c r="I25" s="46"/>
      <c r="J25" s="46"/>
      <c r="K25" s="50"/>
      <c r="L25" s="48"/>
      <c r="M25" s="46"/>
      <c r="N25" s="46"/>
      <c r="O25" s="51"/>
    </row>
    <row r="26" spans="1:17" x14ac:dyDescent="0.25">
      <c r="A26" s="29" t="s">
        <v>31</v>
      </c>
      <c r="B26" s="25" t="s">
        <v>32</v>
      </c>
      <c r="C26" s="11"/>
      <c r="D26" s="48"/>
      <c r="E26" s="46"/>
      <c r="F26" s="46"/>
      <c r="G26" s="49"/>
      <c r="H26" s="48"/>
      <c r="I26" s="46"/>
      <c r="J26" s="46"/>
      <c r="K26" s="50"/>
      <c r="L26" s="48"/>
      <c r="M26" s="46"/>
      <c r="N26" s="46"/>
      <c r="O26" s="51"/>
    </row>
    <row r="27" spans="1:17" x14ac:dyDescent="0.25">
      <c r="A27" s="29" t="s">
        <v>33</v>
      </c>
      <c r="B27" s="25" t="s">
        <v>34</v>
      </c>
      <c r="C27" s="11"/>
      <c r="D27" s="48"/>
      <c r="E27" s="46"/>
      <c r="F27" s="46"/>
      <c r="G27" s="49"/>
      <c r="H27" s="48"/>
      <c r="I27" s="46"/>
      <c r="J27" s="46"/>
      <c r="K27" s="50"/>
      <c r="L27" s="48"/>
      <c r="M27" s="46"/>
      <c r="N27" s="46"/>
      <c r="O27" s="51"/>
    </row>
    <row r="28" spans="1:17" x14ac:dyDescent="0.25">
      <c r="A28" s="29" t="s">
        <v>35</v>
      </c>
      <c r="B28" s="25" t="s">
        <v>36</v>
      </c>
      <c r="C28" s="11"/>
      <c r="D28" s="48"/>
      <c r="E28" s="46"/>
      <c r="F28" s="46"/>
      <c r="G28" s="49"/>
      <c r="H28" s="48"/>
      <c r="I28" s="46"/>
      <c r="J28" s="46"/>
      <c r="K28" s="50"/>
      <c r="L28" s="48"/>
      <c r="M28" s="46"/>
      <c r="N28" s="46"/>
      <c r="O28" s="51"/>
    </row>
    <row r="29" spans="1:17" x14ac:dyDescent="0.25">
      <c r="A29" s="29" t="s">
        <v>37</v>
      </c>
      <c r="B29" s="25" t="s">
        <v>48</v>
      </c>
      <c r="C29" s="11"/>
      <c r="D29" s="48"/>
      <c r="E29" s="46"/>
      <c r="F29" s="46"/>
      <c r="G29" s="49"/>
      <c r="H29" s="48"/>
      <c r="I29" s="46"/>
      <c r="J29" s="46"/>
      <c r="K29" s="50"/>
      <c r="L29" s="48"/>
      <c r="M29" s="46"/>
      <c r="N29" s="46"/>
      <c r="O29" s="51"/>
    </row>
    <row r="30" spans="1:17" x14ac:dyDescent="0.25">
      <c r="A30" s="29" t="s">
        <v>38</v>
      </c>
      <c r="B30" s="25" t="s">
        <v>39</v>
      </c>
      <c r="C30" s="11"/>
      <c r="D30" s="48"/>
      <c r="E30" s="46"/>
      <c r="F30" s="46"/>
      <c r="G30" s="49"/>
      <c r="H30" s="48"/>
      <c r="I30" s="46"/>
      <c r="J30" s="46"/>
      <c r="K30" s="50"/>
      <c r="L30" s="48"/>
      <c r="M30" s="46"/>
      <c r="N30" s="46"/>
      <c r="O30" s="51"/>
    </row>
    <row r="31" spans="1:17" x14ac:dyDescent="0.25">
      <c r="A31" s="29" t="s">
        <v>40</v>
      </c>
      <c r="B31" s="25" t="s">
        <v>41</v>
      </c>
      <c r="C31" s="11"/>
      <c r="D31" s="48"/>
      <c r="E31" s="46"/>
      <c r="F31" s="46"/>
      <c r="G31" s="49"/>
      <c r="H31" s="48"/>
      <c r="I31" s="46"/>
      <c r="J31" s="46"/>
      <c r="K31" s="50"/>
      <c r="L31" s="48"/>
      <c r="M31" s="46"/>
      <c r="N31" s="46"/>
      <c r="O31" s="51"/>
      <c r="Q31" s="4"/>
    </row>
    <row r="32" spans="1:17" x14ac:dyDescent="0.25">
      <c r="A32" s="29" t="s">
        <v>42</v>
      </c>
      <c r="B32" s="25" t="s">
        <v>43</v>
      </c>
      <c r="C32" s="11"/>
      <c r="D32" s="48"/>
      <c r="E32" s="46"/>
      <c r="F32" s="46"/>
      <c r="G32" s="49"/>
      <c r="H32" s="48"/>
      <c r="I32" s="46"/>
      <c r="J32" s="46"/>
      <c r="K32" s="50"/>
      <c r="L32" s="48"/>
      <c r="M32" s="46"/>
      <c r="N32" s="46"/>
      <c r="O32" s="51"/>
      <c r="P32" s="4"/>
    </row>
    <row r="33" spans="1:15" x14ac:dyDescent="0.25">
      <c r="A33" s="29" t="s">
        <v>44</v>
      </c>
      <c r="B33" s="25" t="s">
        <v>45</v>
      </c>
      <c r="C33" s="11"/>
      <c r="D33" s="48"/>
      <c r="E33" s="46"/>
      <c r="F33" s="46"/>
      <c r="G33" s="49"/>
      <c r="H33" s="48"/>
      <c r="I33" s="46"/>
      <c r="J33" s="46"/>
      <c r="K33" s="50"/>
      <c r="L33" s="48"/>
      <c r="M33" s="46"/>
      <c r="N33" s="46"/>
      <c r="O33" s="51"/>
    </row>
    <row r="34" spans="1:15" x14ac:dyDescent="0.25">
      <c r="A34" s="29" t="s">
        <v>46</v>
      </c>
      <c r="B34" s="25" t="s">
        <v>47</v>
      </c>
      <c r="C34" s="11"/>
      <c r="D34" s="48"/>
      <c r="E34" s="46"/>
      <c r="F34" s="46"/>
      <c r="G34" s="49"/>
      <c r="H34" s="48"/>
      <c r="I34" s="46"/>
      <c r="J34" s="46"/>
      <c r="K34" s="50"/>
      <c r="L34" s="48"/>
      <c r="M34" s="46"/>
      <c r="N34" s="46"/>
      <c r="O34" s="51"/>
    </row>
    <row r="35" spans="1:15" ht="13" thickBot="1" x14ac:dyDescent="0.3">
      <c r="A35" s="30" t="s">
        <v>18</v>
      </c>
      <c r="B35" s="26" t="s">
        <v>24</v>
      </c>
      <c r="C35" s="11"/>
      <c r="D35" s="40">
        <f>ROUND(ROUND(1944*ROUND($I$2/$I$1,3),0),0)</f>
        <v>1991</v>
      </c>
      <c r="E35" s="46"/>
      <c r="F35" s="57" t="s">
        <v>85</v>
      </c>
      <c r="G35" s="43" t="str">
        <f>IF(F35="Yes",D35,"")</f>
        <v/>
      </c>
      <c r="H35" s="40">
        <f>ROUND(ROUND(2451*ROUND($I$2/$I$1,3),0),0)</f>
        <v>2510</v>
      </c>
      <c r="I35" s="46"/>
      <c r="J35" s="52" t="s">
        <v>85</v>
      </c>
      <c r="K35" s="44" t="str">
        <f>IF(J35="Yes",H35,"")</f>
        <v/>
      </c>
      <c r="L35" s="40">
        <f>ROUND(ROUND(3031*ROUND($I$2/$I$1,3),0),0)</f>
        <v>3104</v>
      </c>
      <c r="M35" s="46"/>
      <c r="N35" s="52" t="s">
        <v>85</v>
      </c>
      <c r="O35" s="45" t="str">
        <f>IF(N35="Yes",L35,"")</f>
        <v/>
      </c>
    </row>
    <row r="36" spans="1:15" ht="13" thickBot="1" x14ac:dyDescent="0.3">
      <c r="A36" s="6"/>
      <c r="B36" s="6"/>
      <c r="C36" s="6"/>
      <c r="D36" s="53"/>
      <c r="E36" s="54"/>
      <c r="F36" s="55"/>
      <c r="G36" s="56"/>
      <c r="H36" s="53"/>
      <c r="I36" s="54"/>
      <c r="J36" s="55"/>
      <c r="K36" s="55"/>
      <c r="L36" s="53"/>
      <c r="M36" s="55"/>
      <c r="N36" s="55"/>
      <c r="O36" s="56"/>
    </row>
    <row r="37" spans="1:15" ht="15.5" thickBot="1" x14ac:dyDescent="0.3">
      <c r="A37" s="6"/>
      <c r="B37" s="13" t="s">
        <v>74</v>
      </c>
      <c r="C37" s="9"/>
      <c r="D37" s="39">
        <f>SUM(D10:D35)</f>
        <v>50296</v>
      </c>
      <c r="E37" s="35"/>
      <c r="F37" s="36"/>
      <c r="G37" s="108">
        <f>SUM(G10:G35)</f>
        <v>13546</v>
      </c>
      <c r="H37" s="39">
        <f>SUM(H10:H35)</f>
        <v>64655</v>
      </c>
      <c r="I37" s="35"/>
      <c r="J37" s="36"/>
      <c r="K37" s="108">
        <f>SUM(K10:K35)</f>
        <v>21361</v>
      </c>
      <c r="L37" s="39">
        <f>SUM(L10:L35)</f>
        <v>74254</v>
      </c>
      <c r="M37" s="36"/>
      <c r="N37" s="36"/>
      <c r="O37" s="108">
        <f>SUM(O10:O35)</f>
        <v>25008</v>
      </c>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t="s">
        <v>84</v>
      </c>
      <c r="E40" s="6"/>
      <c r="F40" s="6"/>
      <c r="G40" s="6"/>
      <c r="H40" s="6"/>
      <c r="I40" s="6"/>
      <c r="J40" s="6"/>
      <c r="K40" s="6"/>
      <c r="L40" s="6"/>
      <c r="M40" s="6"/>
      <c r="N40" s="6"/>
      <c r="O40" s="6"/>
    </row>
    <row r="41" spans="1:15" x14ac:dyDescent="0.25">
      <c r="A41" s="6"/>
      <c r="B41" s="6"/>
      <c r="C41" s="6"/>
      <c r="D41" s="6" t="s">
        <v>85</v>
      </c>
      <c r="E41" s="6"/>
      <c r="F41" s="6"/>
      <c r="G41" s="6"/>
      <c r="H41" s="6"/>
      <c r="I41" s="6"/>
      <c r="J41" s="6"/>
      <c r="K41" s="6"/>
      <c r="L41" s="6"/>
      <c r="M41" s="6"/>
      <c r="N41" s="6"/>
      <c r="O41" s="6"/>
    </row>
    <row r="42" spans="1:15" x14ac:dyDescent="0.25">
      <c r="A42" s="6"/>
      <c r="B42" s="6"/>
      <c r="C42" s="6"/>
      <c r="D42" s="6"/>
      <c r="E42" s="6"/>
      <c r="F42" s="6"/>
      <c r="G42" s="6"/>
      <c r="H42" s="6"/>
      <c r="I42" s="6"/>
      <c r="J42" s="6"/>
      <c r="K42" s="6"/>
      <c r="L42" s="6"/>
      <c r="M42" s="6"/>
      <c r="N42" s="6"/>
      <c r="O42" s="6"/>
    </row>
    <row r="43" spans="1:15" x14ac:dyDescent="0.25">
      <c r="A43" s="6"/>
      <c r="B43" s="6"/>
      <c r="C43" s="6"/>
      <c r="D43" s="6" t="s">
        <v>49</v>
      </c>
      <c r="E43" s="6"/>
      <c r="F43" s="6"/>
      <c r="G43" s="6"/>
      <c r="H43" s="6"/>
      <c r="I43" s="6"/>
      <c r="J43" s="6"/>
      <c r="K43" s="6"/>
      <c r="L43" s="6"/>
      <c r="M43" s="6"/>
      <c r="N43" s="6"/>
      <c r="O43" s="6"/>
    </row>
    <row r="44" spans="1:15" x14ac:dyDescent="0.25">
      <c r="A44" s="6"/>
      <c r="B44" s="6"/>
      <c r="C44" s="6"/>
      <c r="D44" s="6" t="s">
        <v>30</v>
      </c>
      <c r="E44" s="9" t="s">
        <v>75</v>
      </c>
      <c r="F44" s="9"/>
      <c r="G44" s="9"/>
      <c r="H44" s="6"/>
      <c r="I44" s="6"/>
      <c r="J44" s="6"/>
      <c r="K44" s="6"/>
      <c r="L44" s="6"/>
      <c r="M44" s="6"/>
      <c r="N44" s="6"/>
      <c r="O44" s="6"/>
    </row>
    <row r="45" spans="1:15" x14ac:dyDescent="0.25">
      <c r="A45" s="6"/>
      <c r="B45" s="6"/>
      <c r="C45" s="6"/>
      <c r="D45" s="14"/>
      <c r="E45" s="6" t="s">
        <v>66</v>
      </c>
      <c r="F45" s="6"/>
      <c r="G45" s="6"/>
      <c r="H45" s="6"/>
      <c r="I45" s="6"/>
      <c r="J45" s="6"/>
      <c r="K45" s="6"/>
      <c r="L45" s="6"/>
      <c r="M45" s="6"/>
      <c r="N45" s="6"/>
      <c r="O45" s="6"/>
    </row>
    <row r="46" spans="1:15" x14ac:dyDescent="0.25">
      <c r="A46" s="6"/>
      <c r="B46" s="6"/>
      <c r="C46" s="6"/>
      <c r="D46" s="6"/>
      <c r="E46" s="114" t="s">
        <v>76</v>
      </c>
      <c r="F46" s="114"/>
      <c r="G46" s="114"/>
      <c r="H46" s="114"/>
      <c r="I46" s="114"/>
      <c r="J46" s="114"/>
      <c r="K46" s="114"/>
      <c r="L46" s="114"/>
      <c r="M46" s="114"/>
      <c r="N46" s="114"/>
      <c r="O46" s="114"/>
    </row>
    <row r="47" spans="1:15" x14ac:dyDescent="0.25">
      <c r="A47" s="6"/>
      <c r="B47" s="6"/>
      <c r="C47" s="6"/>
      <c r="D47" s="6"/>
      <c r="E47" s="6"/>
      <c r="F47" s="6"/>
      <c r="G47" s="6"/>
      <c r="H47" s="6"/>
      <c r="I47" s="6"/>
      <c r="J47" s="6"/>
      <c r="K47" s="6"/>
      <c r="L47" s="6"/>
      <c r="M47" s="6"/>
      <c r="N47" s="6"/>
      <c r="O47" s="6"/>
    </row>
    <row r="48" spans="1:15" x14ac:dyDescent="0.25">
      <c r="A48" s="6"/>
      <c r="B48" s="6"/>
      <c r="C48" s="6"/>
      <c r="D48" s="6" t="s">
        <v>72</v>
      </c>
      <c r="E48" s="16" t="s">
        <v>73</v>
      </c>
      <c r="F48" s="16"/>
      <c r="G48" s="16"/>
      <c r="H48" s="6"/>
      <c r="I48" s="7"/>
      <c r="J48" s="7"/>
      <c r="K48" s="7"/>
      <c r="L48" s="6"/>
      <c r="M48" s="6"/>
      <c r="N48" s="6"/>
      <c r="O48" s="6"/>
    </row>
    <row r="49" spans="1:15" x14ac:dyDescent="0.25">
      <c r="A49" s="6"/>
      <c r="B49" s="6"/>
      <c r="C49" s="6"/>
      <c r="D49" s="6"/>
      <c r="E49" s="16" t="s">
        <v>57</v>
      </c>
      <c r="F49" s="16"/>
      <c r="G49" s="16"/>
      <c r="H49" s="6"/>
      <c r="I49" s="6"/>
      <c r="J49" s="6"/>
      <c r="K49" s="6"/>
      <c r="L49" s="6"/>
      <c r="M49" s="6"/>
      <c r="N49" s="6"/>
      <c r="O49" s="6"/>
    </row>
    <row r="50" spans="1:15" x14ac:dyDescent="0.25">
      <c r="A50" s="6"/>
      <c r="B50" s="6"/>
      <c r="C50" s="6"/>
      <c r="D50" s="6"/>
      <c r="E50" s="16" t="s">
        <v>71</v>
      </c>
      <c r="F50" s="16"/>
      <c r="G50" s="16"/>
      <c r="H50" s="6"/>
      <c r="I50" s="6"/>
      <c r="J50" s="6"/>
      <c r="K50" s="6"/>
      <c r="L50" s="6"/>
      <c r="M50" s="6"/>
      <c r="N50" s="6"/>
      <c r="O50" s="6"/>
    </row>
    <row r="51" spans="1:15" x14ac:dyDescent="0.25">
      <c r="A51" s="6"/>
      <c r="B51" s="6"/>
      <c r="C51" s="6"/>
      <c r="D51" s="6"/>
      <c r="E51" s="16" t="s">
        <v>58</v>
      </c>
      <c r="F51" s="16"/>
      <c r="G51" s="16"/>
      <c r="H51" s="6"/>
      <c r="I51" s="6"/>
      <c r="J51" s="6"/>
      <c r="K51" s="6"/>
      <c r="L51" s="6"/>
      <c r="M51" s="6"/>
      <c r="N51" s="6"/>
      <c r="O51" s="6"/>
    </row>
    <row r="52" spans="1:15" x14ac:dyDescent="0.25">
      <c r="A52" s="6"/>
      <c r="B52" s="6"/>
      <c r="C52" s="6"/>
      <c r="D52" s="6"/>
      <c r="E52" s="16" t="s">
        <v>59</v>
      </c>
      <c r="F52" s="16"/>
      <c r="G52" s="16"/>
      <c r="H52" s="6"/>
      <c r="I52" s="6"/>
      <c r="J52" s="6"/>
      <c r="K52" s="6"/>
      <c r="L52" s="6"/>
      <c r="M52" s="6"/>
      <c r="N52" s="6"/>
      <c r="O52" s="6"/>
    </row>
    <row r="53" spans="1:15" x14ac:dyDescent="0.25">
      <c r="A53" s="6"/>
      <c r="B53" s="6"/>
      <c r="C53" s="6"/>
      <c r="D53" s="6"/>
      <c r="E53" s="16" t="s">
        <v>60</v>
      </c>
      <c r="F53" s="16"/>
      <c r="G53" s="16"/>
      <c r="H53" s="6"/>
      <c r="I53" s="6"/>
      <c r="J53" s="6"/>
      <c r="K53" s="6"/>
      <c r="L53" s="6"/>
      <c r="M53" s="6"/>
      <c r="N53" s="6"/>
      <c r="O53" s="6"/>
    </row>
    <row r="54" spans="1:15" x14ac:dyDescent="0.25">
      <c r="A54" s="6"/>
      <c r="B54" s="6"/>
      <c r="C54" s="6"/>
      <c r="D54" s="6"/>
      <c r="E54" s="6"/>
      <c r="F54" s="6"/>
      <c r="G54" s="6"/>
      <c r="H54" s="6"/>
      <c r="I54" s="6"/>
      <c r="J54" s="6"/>
      <c r="K54" s="6"/>
      <c r="L54" s="6"/>
      <c r="M54" s="6"/>
      <c r="N54" s="6"/>
      <c r="O54" s="6"/>
    </row>
    <row r="55" spans="1:15" x14ac:dyDescent="0.25">
      <c r="A55" s="6"/>
      <c r="B55" s="6"/>
      <c r="C55" s="6"/>
      <c r="D55" s="6"/>
      <c r="E55" s="6" t="s">
        <v>77</v>
      </c>
      <c r="F55" s="6"/>
      <c r="G55" s="6"/>
      <c r="H55" s="6"/>
      <c r="I55" s="6"/>
      <c r="J55" s="6"/>
      <c r="K55" s="6"/>
      <c r="L55" s="6"/>
      <c r="M55" s="6"/>
      <c r="N55" s="6"/>
      <c r="O55" s="6"/>
    </row>
    <row r="56" spans="1:15" x14ac:dyDescent="0.25">
      <c r="A56" s="6"/>
      <c r="B56" s="6"/>
      <c r="C56" s="6"/>
      <c r="D56" s="6"/>
      <c r="E56" s="6"/>
      <c r="F56" s="6"/>
      <c r="G56" s="6"/>
      <c r="H56" s="6"/>
      <c r="I56" s="6"/>
      <c r="J56" s="6"/>
      <c r="K56" s="6"/>
      <c r="L56" s="6"/>
      <c r="M56" s="6"/>
      <c r="N56" s="6"/>
      <c r="O56" s="6"/>
    </row>
  </sheetData>
  <sheetProtection selectLockedCells="1"/>
  <mergeCells count="7">
    <mergeCell ref="D6:O6"/>
    <mergeCell ref="D7:G7"/>
    <mergeCell ref="H7:K7"/>
    <mergeCell ref="L7:O7"/>
    <mergeCell ref="D8:G8"/>
    <mergeCell ref="H8:K8"/>
    <mergeCell ref="L8:O8"/>
  </mergeCells>
  <dataValidations count="1">
    <dataValidation type="list" allowBlank="1" showInputMessage="1" showErrorMessage="1" sqref="J35 N35 J10:J24 F35 F10:F24 N10:N23" xr:uid="{00000000-0002-0000-0200-000000000000}">
      <formula1>$D$40:$D$41</formula1>
    </dataValidation>
  </dataValidations>
  <pageMargins left="0.39" right="0.37" top="0.52" bottom="0.49" header="0.5" footer="0.5"/>
  <pageSetup paperSize="9" scale="58" orientation="landscape" r:id="rId1"/>
  <headerFooter alignWithMargins="0">
    <oddHeader>&amp;C&amp;"Calibri"&amp;12&amp;KC00000 OFFICIAL&amp;1#_x000D_</oddHeader>
    <oddFooter>&amp;C_x000D_&amp;1#&amp;"Calibri"&amp;12&amp;KC00000 OFFICIAL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54"/>
  <sheetViews>
    <sheetView zoomScale="80" zoomScaleNormal="80" workbookViewId="0">
      <selection activeCell="D29" sqref="D29"/>
    </sheetView>
  </sheetViews>
  <sheetFormatPr defaultRowHeight="12.5" x14ac:dyDescent="0.25"/>
  <cols>
    <col min="1" max="1" width="8" customWidth="1"/>
    <col min="2" max="2" width="31.26953125" bestFit="1" customWidth="1"/>
    <col min="3" max="3" width="6.54296875" customWidth="1"/>
    <col min="4" max="4" width="16.7265625" customWidth="1"/>
    <col min="5" max="5" width="32.81640625" customWidth="1"/>
    <col min="6" max="6" width="29.453125" customWidth="1"/>
    <col min="7" max="7" width="46.54296875" customWidth="1"/>
    <col min="8" max="8" width="15.453125" customWidth="1"/>
    <col min="9" max="9" width="26.1796875" customWidth="1"/>
    <col min="10" max="10" width="9.26953125" customWidth="1"/>
    <col min="11" max="11" width="12" customWidth="1"/>
    <col min="12" max="12" width="13" customWidth="1"/>
    <col min="13" max="13" width="5.54296875" customWidth="1"/>
    <col min="14" max="14" width="20.453125" customWidth="1"/>
    <col min="15" max="15" width="0.1796875" customWidth="1"/>
  </cols>
  <sheetData>
    <row r="1" spans="1:16" x14ac:dyDescent="0.25">
      <c r="D1" s="21"/>
      <c r="I1" s="128">
        <v>137.4</v>
      </c>
    </row>
    <row r="2" spans="1:16" x14ac:dyDescent="0.25">
      <c r="I2" s="128">
        <v>140.69999999999999</v>
      </c>
      <c r="L2" s="5"/>
    </row>
    <row r="3" spans="1:16" x14ac:dyDescent="0.25">
      <c r="E3" s="1"/>
      <c r="F3" s="1"/>
      <c r="G3" s="1"/>
      <c r="L3" s="5"/>
    </row>
    <row r="4" spans="1:16" x14ac:dyDescent="0.25">
      <c r="A4" s="6"/>
      <c r="B4" s="19" t="s">
        <v>27</v>
      </c>
      <c r="C4" s="19"/>
      <c r="D4" s="20">
        <v>521</v>
      </c>
      <c r="E4" s="8"/>
      <c r="F4" s="8"/>
      <c r="G4" s="8"/>
      <c r="H4" s="6"/>
      <c r="I4" s="6"/>
      <c r="J4" s="6"/>
      <c r="K4" s="6"/>
      <c r="L4" s="6"/>
      <c r="M4" s="6"/>
      <c r="N4" s="6"/>
      <c r="O4" s="6"/>
    </row>
    <row r="5" spans="1:16" ht="13" thickBot="1" x14ac:dyDescent="0.3">
      <c r="A5" s="6"/>
      <c r="B5" s="6"/>
      <c r="C5" s="9"/>
      <c r="D5" s="62"/>
      <c r="E5" s="62"/>
      <c r="F5" s="9"/>
      <c r="G5" s="9"/>
      <c r="H5" s="9"/>
      <c r="I5" s="9"/>
      <c r="J5" s="9"/>
      <c r="K5" s="9"/>
      <c r="L5" s="9"/>
      <c r="M5" s="9"/>
      <c r="N5" s="9"/>
      <c r="O5" s="9"/>
    </row>
    <row r="6" spans="1:16" s="3" customFormat="1" ht="35.5" thickBot="1" x14ac:dyDescent="0.3">
      <c r="A6" s="23" t="s">
        <v>83</v>
      </c>
      <c r="B6" s="22" t="s">
        <v>82</v>
      </c>
      <c r="C6" s="10"/>
      <c r="D6" s="124" t="s">
        <v>123</v>
      </c>
      <c r="E6" s="123"/>
      <c r="F6" s="66"/>
      <c r="G6" s="66"/>
      <c r="H6" s="66"/>
      <c r="I6" s="66"/>
      <c r="J6" s="66"/>
      <c r="K6" s="66"/>
      <c r="L6" s="66"/>
      <c r="M6" s="66"/>
      <c r="N6" s="66"/>
      <c r="O6" s="66"/>
    </row>
    <row r="7" spans="1:16" ht="13.5" customHeight="1" thickBot="1" x14ac:dyDescent="0.3">
      <c r="A7" s="6"/>
      <c r="B7" s="6"/>
      <c r="C7" s="9"/>
      <c r="D7" s="67"/>
      <c r="E7" s="67"/>
      <c r="F7" s="68"/>
      <c r="G7" s="68"/>
      <c r="H7" s="67"/>
      <c r="I7" s="67"/>
      <c r="J7" s="68"/>
      <c r="K7" s="68"/>
      <c r="L7" s="67"/>
      <c r="M7" s="67"/>
      <c r="N7" s="68"/>
      <c r="O7" s="68"/>
    </row>
    <row r="8" spans="1:16" ht="13" thickBot="1" x14ac:dyDescent="0.3">
      <c r="D8" s="101" t="s">
        <v>25</v>
      </c>
      <c r="E8" s="100" t="s">
        <v>97</v>
      </c>
      <c r="F8" s="64"/>
      <c r="G8" s="69"/>
      <c r="H8" s="69"/>
      <c r="I8" s="64"/>
      <c r="J8" s="70"/>
      <c r="K8" s="69"/>
      <c r="L8" s="69"/>
      <c r="M8" s="64"/>
      <c r="N8" s="70"/>
      <c r="O8" s="69"/>
      <c r="P8" s="63"/>
    </row>
    <row r="9" spans="1:16" x14ac:dyDescent="0.25">
      <c r="A9" s="27" t="s">
        <v>3</v>
      </c>
      <c r="B9" s="24" t="s">
        <v>79</v>
      </c>
      <c r="C9" s="11"/>
      <c r="D9" s="80">
        <f>ROUND(763*(1.0240175),0)</f>
        <v>781</v>
      </c>
      <c r="E9" s="96"/>
      <c r="F9" s="72"/>
      <c r="G9" s="71"/>
      <c r="H9" s="71"/>
      <c r="I9" s="72"/>
      <c r="J9" s="70"/>
      <c r="K9" s="69"/>
      <c r="L9" s="71"/>
      <c r="M9" s="72"/>
      <c r="N9" s="70"/>
      <c r="O9" s="69"/>
    </row>
    <row r="10" spans="1:16" x14ac:dyDescent="0.25">
      <c r="A10" s="28" t="s">
        <v>4</v>
      </c>
      <c r="B10" s="111" t="s">
        <v>80</v>
      </c>
      <c r="C10" s="115"/>
      <c r="D10" s="116">
        <f>ROUND(E10*$D$4,0)</f>
        <v>1563</v>
      </c>
      <c r="E10" s="117">
        <v>3</v>
      </c>
      <c r="F10" s="72"/>
      <c r="G10" s="71"/>
      <c r="H10" s="71"/>
      <c r="I10" s="72"/>
      <c r="J10" s="70"/>
      <c r="K10" s="69"/>
      <c r="L10" s="71"/>
      <c r="M10" s="72"/>
      <c r="N10" s="70"/>
      <c r="O10" s="69"/>
    </row>
    <row r="11" spans="1:16" x14ac:dyDescent="0.25">
      <c r="A11" s="28" t="s">
        <v>5</v>
      </c>
      <c r="B11" s="111" t="s">
        <v>81</v>
      </c>
      <c r="C11" s="115"/>
      <c r="D11" s="116">
        <f>ROUND(E11*$D$4,0)</f>
        <v>2345</v>
      </c>
      <c r="E11" s="122">
        <v>4.5</v>
      </c>
      <c r="F11" s="72"/>
      <c r="G11" s="71"/>
      <c r="H11" s="71"/>
      <c r="I11" s="72"/>
      <c r="J11" s="70"/>
      <c r="K11" s="69"/>
      <c r="L11" s="71"/>
      <c r="M11" s="72"/>
      <c r="N11" s="70"/>
      <c r="O11" s="69"/>
    </row>
    <row r="12" spans="1:16" x14ac:dyDescent="0.25">
      <c r="A12" s="28" t="s">
        <v>19</v>
      </c>
      <c r="B12" s="111" t="s">
        <v>20</v>
      </c>
      <c r="C12" s="115"/>
      <c r="D12" s="116">
        <f>ROUND(E12*$D$4,0)</f>
        <v>2084</v>
      </c>
      <c r="E12" s="122">
        <v>4</v>
      </c>
      <c r="F12" s="72"/>
      <c r="G12" s="71"/>
      <c r="H12" s="71"/>
      <c r="I12" s="72"/>
      <c r="J12" s="70"/>
      <c r="K12" s="69"/>
      <c r="L12" s="71"/>
      <c r="M12" s="72"/>
      <c r="N12" s="70"/>
      <c r="O12" s="69"/>
    </row>
    <row r="13" spans="1:16" x14ac:dyDescent="0.25">
      <c r="A13" s="28" t="s">
        <v>21</v>
      </c>
      <c r="B13" s="111" t="s">
        <v>78</v>
      </c>
      <c r="C13" s="115"/>
      <c r="D13" s="116">
        <f>ROUND(E13*$D$4,0)</f>
        <v>1563</v>
      </c>
      <c r="E13" s="117">
        <v>3</v>
      </c>
      <c r="F13" s="72"/>
      <c r="G13" s="71"/>
      <c r="H13" s="71"/>
      <c r="I13" s="72"/>
      <c r="J13" s="70"/>
      <c r="K13" s="69"/>
      <c r="L13" s="71"/>
      <c r="M13" s="72"/>
      <c r="N13" s="70"/>
      <c r="O13" s="69"/>
    </row>
    <row r="14" spans="1:16" x14ac:dyDescent="0.25">
      <c r="A14" s="28" t="s">
        <v>22</v>
      </c>
      <c r="B14" s="111" t="s">
        <v>23</v>
      </c>
      <c r="C14" s="115"/>
      <c r="D14" s="118">
        <f>ROUND(E14*$D$4,0)</f>
        <v>2605</v>
      </c>
      <c r="E14" s="119">
        <v>5</v>
      </c>
      <c r="F14" s="74"/>
      <c r="G14" s="69"/>
      <c r="H14" s="69"/>
      <c r="I14" s="73"/>
      <c r="J14" s="75"/>
      <c r="K14" s="69"/>
      <c r="L14" s="69"/>
      <c r="M14" s="73"/>
      <c r="N14" s="75"/>
      <c r="O14" s="69"/>
    </row>
    <row r="15" spans="1:16" x14ac:dyDescent="0.25">
      <c r="A15" s="29" t="s">
        <v>6</v>
      </c>
      <c r="B15" s="25" t="s">
        <v>7</v>
      </c>
      <c r="C15" s="11"/>
      <c r="D15" s="93">
        <f>ROUND(ROUND(1206*ROUND($I$2/$I$1,3),0),0)</f>
        <v>1235</v>
      </c>
      <c r="E15" s="83"/>
      <c r="F15" s="69"/>
      <c r="G15" s="69"/>
      <c r="H15" s="73"/>
      <c r="I15" s="75"/>
      <c r="J15" s="69"/>
      <c r="K15" s="69"/>
      <c r="L15" s="73"/>
      <c r="M15" s="75"/>
      <c r="N15" s="69"/>
    </row>
    <row r="16" spans="1:16" x14ac:dyDescent="0.25">
      <c r="A16" s="29" t="s">
        <v>8</v>
      </c>
      <c r="B16" s="25" t="s">
        <v>9</v>
      </c>
      <c r="C16" s="11"/>
      <c r="D16" s="93">
        <f>ROUND(ROUND(1249*ROUND($I$2/$I$1,3),0),0)</f>
        <v>1279</v>
      </c>
      <c r="E16" s="83"/>
      <c r="F16" s="73"/>
      <c r="G16" s="69"/>
      <c r="H16" s="69"/>
      <c r="I16" s="73"/>
      <c r="J16" s="73"/>
      <c r="K16" s="73"/>
      <c r="L16" s="69"/>
      <c r="M16" s="73"/>
      <c r="N16" s="73"/>
      <c r="O16" s="73"/>
    </row>
    <row r="17" spans="1:17" x14ac:dyDescent="0.25">
      <c r="A17" s="29" t="s">
        <v>67</v>
      </c>
      <c r="B17" s="25" t="s">
        <v>68</v>
      </c>
      <c r="C17" s="11"/>
      <c r="D17" s="82"/>
      <c r="E17" s="83"/>
      <c r="F17" s="65"/>
      <c r="G17" s="69"/>
      <c r="H17" s="69"/>
      <c r="I17" s="73"/>
      <c r="J17" s="75"/>
      <c r="K17" s="69"/>
      <c r="L17" s="69"/>
      <c r="M17" s="73"/>
      <c r="N17" s="75"/>
      <c r="O17" s="69"/>
    </row>
    <row r="18" spans="1:17" x14ac:dyDescent="0.25">
      <c r="A18" s="29" t="s">
        <v>10</v>
      </c>
      <c r="B18" s="25" t="s">
        <v>11</v>
      </c>
      <c r="C18" s="11"/>
      <c r="D18" s="93">
        <f>ROUND(ROUND(2501*ROUND($I$2/$I$1,3),0),0)</f>
        <v>2561</v>
      </c>
      <c r="E18" s="83"/>
      <c r="F18" s="65"/>
      <c r="G18" s="69"/>
      <c r="H18" s="69"/>
      <c r="I18" s="73"/>
      <c r="J18" s="75"/>
      <c r="K18" s="69"/>
      <c r="L18" s="69"/>
      <c r="M18" s="73"/>
      <c r="N18" s="69"/>
      <c r="O18" s="4"/>
    </row>
    <row r="19" spans="1:17" x14ac:dyDescent="0.25">
      <c r="A19" s="29" t="s">
        <v>12</v>
      </c>
      <c r="B19" s="25" t="s">
        <v>13</v>
      </c>
      <c r="C19" s="11"/>
      <c r="D19" s="93">
        <f>ROUND(ROUND(5624*ROUND($I$2/$I$1,3),0),0)</f>
        <v>5759</v>
      </c>
      <c r="E19" s="83"/>
      <c r="F19" s="73"/>
      <c r="G19" s="69"/>
      <c r="H19" s="69"/>
      <c r="I19" s="73"/>
      <c r="J19" s="73"/>
      <c r="K19" s="73"/>
      <c r="L19" s="69"/>
      <c r="M19" s="73"/>
      <c r="N19" s="73"/>
      <c r="O19" s="73"/>
    </row>
    <row r="20" spans="1:17" x14ac:dyDescent="0.25">
      <c r="A20" s="29" t="s">
        <v>69</v>
      </c>
      <c r="B20" s="25" t="s">
        <v>70</v>
      </c>
      <c r="C20" s="11"/>
      <c r="D20" s="82"/>
      <c r="E20" s="83"/>
      <c r="F20" s="65"/>
      <c r="G20" s="69"/>
      <c r="H20" s="69"/>
      <c r="I20" s="73"/>
      <c r="J20" s="75"/>
      <c r="K20" s="69"/>
      <c r="L20" s="69"/>
      <c r="M20" s="73"/>
      <c r="N20" s="75"/>
      <c r="O20" s="69"/>
    </row>
    <row r="21" spans="1:17" x14ac:dyDescent="0.25">
      <c r="A21" s="29" t="s">
        <v>14</v>
      </c>
      <c r="B21" s="25" t="s">
        <v>15</v>
      </c>
      <c r="C21" s="11"/>
      <c r="D21" s="93">
        <f>ROUND(ROUND(5135*ROUND($I$2/$I$1,3),0),0)</f>
        <v>5258</v>
      </c>
      <c r="E21" s="83"/>
      <c r="F21" s="65"/>
      <c r="G21" s="69"/>
      <c r="H21" s="69"/>
      <c r="I21" s="73"/>
      <c r="J21" s="75"/>
      <c r="K21" s="69"/>
      <c r="L21" s="69"/>
      <c r="M21" s="73"/>
      <c r="N21" s="75"/>
      <c r="O21" s="69"/>
    </row>
    <row r="22" spans="1:17" x14ac:dyDescent="0.25">
      <c r="A22" s="29" t="s">
        <v>16</v>
      </c>
      <c r="B22" s="25" t="s">
        <v>17</v>
      </c>
      <c r="C22" s="11"/>
      <c r="D22" s="93">
        <f>ROUND(ROUND(53761*ROUND($I$2/$I$1,3),0),0)</f>
        <v>55051</v>
      </c>
      <c r="E22" s="83"/>
      <c r="F22" s="73"/>
      <c r="G22" s="69"/>
      <c r="H22" s="69"/>
      <c r="I22" s="73"/>
      <c r="J22" s="73"/>
      <c r="K22" s="73"/>
      <c r="L22" s="69"/>
      <c r="M22" s="73"/>
      <c r="N22" s="73"/>
      <c r="O22" s="73"/>
    </row>
    <row r="23" spans="1:17" x14ac:dyDescent="0.25">
      <c r="A23" s="29" t="s">
        <v>61</v>
      </c>
      <c r="B23" s="25" t="s">
        <v>17</v>
      </c>
      <c r="C23" s="11"/>
      <c r="D23" s="94" t="s">
        <v>30</v>
      </c>
      <c r="E23" s="85"/>
      <c r="F23" s="73"/>
      <c r="G23" s="69"/>
      <c r="H23" s="69"/>
      <c r="I23" s="73"/>
      <c r="J23" s="73"/>
      <c r="K23" s="73"/>
      <c r="L23" s="69"/>
      <c r="M23" s="73"/>
      <c r="N23" s="73"/>
      <c r="O23" s="73"/>
    </row>
    <row r="24" spans="1:17" x14ac:dyDescent="0.25">
      <c r="A24" s="29" t="s">
        <v>28</v>
      </c>
      <c r="B24" s="25" t="s">
        <v>29</v>
      </c>
      <c r="C24" s="11"/>
      <c r="D24" s="93" t="s">
        <v>30</v>
      </c>
      <c r="E24" s="83"/>
      <c r="F24" s="73"/>
      <c r="G24" s="69"/>
      <c r="H24" s="69"/>
      <c r="I24" s="73"/>
      <c r="J24" s="73"/>
      <c r="K24" s="73"/>
      <c r="L24" s="69"/>
      <c r="M24" s="73"/>
      <c r="N24" s="73"/>
      <c r="O24" s="73"/>
    </row>
    <row r="25" spans="1:17" x14ac:dyDescent="0.25">
      <c r="A25" s="29" t="s">
        <v>31</v>
      </c>
      <c r="B25" s="25" t="s">
        <v>32</v>
      </c>
      <c r="C25" s="11"/>
      <c r="D25" s="93" t="s">
        <v>30</v>
      </c>
      <c r="E25" s="83"/>
      <c r="F25" s="73"/>
      <c r="G25" s="69"/>
      <c r="H25" s="69"/>
      <c r="I25" s="73"/>
      <c r="J25" s="73"/>
      <c r="K25" s="73"/>
      <c r="L25" s="69"/>
      <c r="M25" s="73"/>
      <c r="N25" s="73"/>
      <c r="O25" s="73"/>
    </row>
    <row r="26" spans="1:17" x14ac:dyDescent="0.25">
      <c r="A26" s="29" t="s">
        <v>33</v>
      </c>
      <c r="B26" s="25" t="s">
        <v>34</v>
      </c>
      <c r="C26" s="11"/>
      <c r="D26" s="93" t="s">
        <v>30</v>
      </c>
      <c r="E26" s="83"/>
      <c r="F26" s="73"/>
      <c r="G26" s="69"/>
      <c r="H26" s="69"/>
      <c r="I26" s="73"/>
      <c r="J26" s="73"/>
      <c r="K26" s="73"/>
      <c r="L26" s="69"/>
      <c r="M26" s="73"/>
      <c r="N26" s="73"/>
      <c r="O26" s="73"/>
    </row>
    <row r="27" spans="1:17" x14ac:dyDescent="0.25">
      <c r="A27" s="29" t="s">
        <v>35</v>
      </c>
      <c r="B27" s="25" t="s">
        <v>36</v>
      </c>
      <c r="C27" s="11"/>
      <c r="D27" s="93" t="s">
        <v>30</v>
      </c>
      <c r="E27" s="83"/>
      <c r="F27" s="73"/>
      <c r="G27" s="69"/>
      <c r="H27" s="69"/>
      <c r="I27" s="73"/>
      <c r="J27" s="73"/>
      <c r="K27" s="73"/>
      <c r="L27" s="69"/>
      <c r="M27" s="73"/>
      <c r="N27" s="73"/>
      <c r="O27" s="73"/>
    </row>
    <row r="28" spans="1:17" x14ac:dyDescent="0.25">
      <c r="A28" s="29" t="s">
        <v>37</v>
      </c>
      <c r="B28" s="25" t="s">
        <v>48</v>
      </c>
      <c r="C28" s="11"/>
      <c r="D28" s="93">
        <f>ROUND(ROUND(762*ROUND($I$2/$I$1,3),0),0)</f>
        <v>780</v>
      </c>
      <c r="E28" s="83"/>
      <c r="F28" s="73"/>
      <c r="G28" s="69"/>
      <c r="H28" s="69"/>
      <c r="I28" s="73"/>
      <c r="J28" s="73"/>
      <c r="K28" s="73"/>
      <c r="L28" s="69"/>
      <c r="M28" s="73"/>
      <c r="N28" s="73"/>
      <c r="O28" s="73"/>
    </row>
    <row r="29" spans="1:17" x14ac:dyDescent="0.25">
      <c r="A29" s="29" t="s">
        <v>38</v>
      </c>
      <c r="B29" s="25" t="s">
        <v>39</v>
      </c>
      <c r="C29" s="11"/>
      <c r="D29" s="93">
        <f>ROUND(ROUND(762*ROUND($I$2/$I$1,3),0),0)</f>
        <v>780</v>
      </c>
      <c r="E29" s="83"/>
      <c r="F29" s="73"/>
      <c r="G29" s="69"/>
      <c r="H29" s="69"/>
      <c r="I29" s="73"/>
      <c r="J29" s="73"/>
      <c r="K29" s="73"/>
      <c r="L29" s="69"/>
      <c r="M29" s="73"/>
      <c r="N29" s="73"/>
      <c r="O29" s="73"/>
      <c r="Q29" s="4"/>
    </row>
    <row r="30" spans="1:17" x14ac:dyDescent="0.25">
      <c r="A30" s="29" t="s">
        <v>40</v>
      </c>
      <c r="B30" s="25" t="s">
        <v>41</v>
      </c>
      <c r="C30" s="11"/>
      <c r="D30" s="93" t="s">
        <v>30</v>
      </c>
      <c r="E30" s="83"/>
      <c r="F30" s="73"/>
      <c r="G30" s="69"/>
      <c r="H30" s="69"/>
      <c r="I30" s="73"/>
      <c r="J30" s="73"/>
      <c r="K30" s="73"/>
      <c r="L30" s="69"/>
      <c r="M30" s="73"/>
      <c r="N30" s="73"/>
      <c r="O30" s="73"/>
      <c r="P30" s="4"/>
    </row>
    <row r="31" spans="1:17" x14ac:dyDescent="0.25">
      <c r="A31" s="29" t="s">
        <v>42</v>
      </c>
      <c r="B31" s="25" t="s">
        <v>43</v>
      </c>
      <c r="C31" s="11"/>
      <c r="D31" s="95" t="s">
        <v>30</v>
      </c>
      <c r="E31" s="51"/>
      <c r="F31" s="73"/>
      <c r="G31" s="69"/>
      <c r="H31" s="69"/>
      <c r="I31" s="73"/>
      <c r="J31" s="73"/>
      <c r="K31" s="73"/>
      <c r="L31" s="69"/>
      <c r="M31" s="73"/>
      <c r="N31" s="73"/>
      <c r="O31" s="73"/>
    </row>
    <row r="32" spans="1:17" x14ac:dyDescent="0.25">
      <c r="A32" s="29" t="s">
        <v>44</v>
      </c>
      <c r="B32" s="25" t="s">
        <v>45</v>
      </c>
      <c r="C32" s="11"/>
      <c r="D32" s="93" t="s">
        <v>30</v>
      </c>
      <c r="E32" s="83"/>
      <c r="F32" s="73"/>
      <c r="G32" s="69"/>
      <c r="H32" s="69"/>
      <c r="I32" s="73"/>
      <c r="J32" s="73"/>
      <c r="K32" s="73"/>
      <c r="L32" s="69"/>
      <c r="M32" s="73"/>
      <c r="N32" s="73"/>
      <c r="O32" s="73"/>
      <c r="P32" s="4"/>
    </row>
    <row r="33" spans="1:15" x14ac:dyDescent="0.25">
      <c r="A33" s="29" t="s">
        <v>46</v>
      </c>
      <c r="B33" s="25" t="s">
        <v>47</v>
      </c>
      <c r="C33" s="11"/>
      <c r="D33" s="93" t="s">
        <v>30</v>
      </c>
      <c r="E33" s="83"/>
      <c r="F33" s="74"/>
      <c r="G33" s="69"/>
      <c r="H33" s="69"/>
      <c r="I33" s="73"/>
      <c r="J33" s="74"/>
      <c r="K33" s="69"/>
      <c r="L33" s="69"/>
      <c r="M33" s="73"/>
      <c r="N33" s="74"/>
      <c r="O33" s="69"/>
    </row>
    <row r="34" spans="1:15" ht="13" thickBot="1" x14ac:dyDescent="0.3">
      <c r="A34" s="30" t="s">
        <v>18</v>
      </c>
      <c r="B34" s="26" t="s">
        <v>24</v>
      </c>
      <c r="C34" s="11"/>
      <c r="D34" s="88"/>
      <c r="E34" s="89"/>
      <c r="F34" s="76"/>
      <c r="G34" s="76"/>
      <c r="H34" s="76"/>
      <c r="I34" s="76"/>
      <c r="J34" s="76"/>
      <c r="K34" s="76"/>
      <c r="L34" s="76"/>
      <c r="M34" s="76"/>
      <c r="N34" s="76"/>
      <c r="O34" s="76"/>
    </row>
    <row r="35" spans="1:15" ht="13" thickBot="1" x14ac:dyDescent="0.3">
      <c r="A35" s="6"/>
      <c r="B35" s="6"/>
      <c r="C35" s="6"/>
      <c r="D35" s="90"/>
      <c r="E35" s="91"/>
      <c r="F35" s="78"/>
      <c r="G35" s="77"/>
      <c r="H35" s="77"/>
      <c r="I35" s="78"/>
      <c r="J35" s="78"/>
      <c r="K35" s="77"/>
      <c r="L35" s="77"/>
      <c r="M35" s="78"/>
      <c r="N35" s="78"/>
      <c r="O35" s="77"/>
    </row>
    <row r="36" spans="1:15" ht="15.5" thickBot="1" x14ac:dyDescent="0.3">
      <c r="A36" s="6"/>
      <c r="B36" s="13" t="s">
        <v>74</v>
      </c>
      <c r="C36" s="9"/>
      <c r="D36" s="39">
        <f>SUM(D9:D16,D18:D19,D21:D33)</f>
        <v>83644</v>
      </c>
      <c r="E36" s="79"/>
      <c r="F36" s="6"/>
      <c r="G36" s="6"/>
      <c r="H36" s="6"/>
      <c r="I36" s="6"/>
      <c r="J36" s="6"/>
      <c r="K36" s="6"/>
      <c r="L36" s="6"/>
      <c r="M36" s="6"/>
      <c r="N36" s="6"/>
      <c r="O36" s="6"/>
    </row>
    <row r="37" spans="1:15" x14ac:dyDescent="0.25">
      <c r="A37" s="6"/>
      <c r="B37" s="6"/>
      <c r="C37" s="6"/>
      <c r="D37" s="6"/>
      <c r="E37" s="6"/>
      <c r="F37" s="6"/>
      <c r="G37" s="6"/>
      <c r="H37" s="6"/>
      <c r="I37" s="6"/>
      <c r="J37" s="6"/>
      <c r="K37" s="6"/>
      <c r="L37" s="6"/>
      <c r="M37" s="6"/>
      <c r="N37" s="6"/>
      <c r="O37" s="6"/>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c r="E40" s="6"/>
      <c r="F40" s="6"/>
      <c r="G40" s="6"/>
      <c r="H40" s="6"/>
      <c r="I40" s="6"/>
      <c r="J40" s="6"/>
      <c r="K40" s="6"/>
      <c r="L40" s="6"/>
      <c r="M40" s="6"/>
      <c r="N40" s="6"/>
      <c r="O40" s="6"/>
    </row>
    <row r="41" spans="1:15" x14ac:dyDescent="0.25">
      <c r="A41" s="6"/>
      <c r="B41" s="6"/>
      <c r="C41" s="6"/>
      <c r="D41" s="6" t="s">
        <v>49</v>
      </c>
      <c r="E41" s="6"/>
      <c r="F41" s="6"/>
      <c r="G41" s="6"/>
      <c r="H41" s="6"/>
      <c r="I41" s="6"/>
      <c r="J41" s="6"/>
      <c r="K41" s="6"/>
      <c r="L41" s="6"/>
      <c r="M41" s="6"/>
      <c r="N41" s="6"/>
      <c r="O41" s="6"/>
    </row>
    <row r="42" spans="1:15" x14ac:dyDescent="0.25">
      <c r="A42" s="6"/>
      <c r="B42" s="6"/>
      <c r="C42" s="6"/>
      <c r="D42" s="6" t="s">
        <v>30</v>
      </c>
      <c r="E42" s="9" t="s">
        <v>75</v>
      </c>
      <c r="F42" s="9"/>
      <c r="G42" s="9"/>
      <c r="H42" s="6"/>
      <c r="I42" s="6"/>
      <c r="J42" s="6"/>
      <c r="K42" s="6"/>
      <c r="L42" s="6"/>
      <c r="M42" s="6"/>
      <c r="N42" s="6"/>
      <c r="O42" s="6"/>
    </row>
    <row r="43" spans="1:15" x14ac:dyDescent="0.25">
      <c r="A43" s="6"/>
      <c r="B43" s="6"/>
      <c r="C43" s="6"/>
      <c r="D43" s="14"/>
      <c r="E43" s="6" t="s">
        <v>66</v>
      </c>
      <c r="F43" s="6"/>
      <c r="G43" s="6"/>
      <c r="H43" s="6"/>
      <c r="I43" s="6"/>
      <c r="J43" s="6"/>
      <c r="K43" s="6"/>
      <c r="L43" s="6"/>
      <c r="M43" s="6"/>
      <c r="N43" s="6"/>
      <c r="O43" s="6"/>
    </row>
    <row r="44" spans="1:15" x14ac:dyDescent="0.25">
      <c r="A44" s="6"/>
      <c r="B44" s="6"/>
      <c r="C44" s="6"/>
      <c r="D44" s="6"/>
      <c r="E44" s="114" t="s">
        <v>76</v>
      </c>
      <c r="F44" s="114"/>
      <c r="G44" s="114"/>
      <c r="H44" s="114"/>
      <c r="I44" s="114"/>
      <c r="J44" s="114"/>
      <c r="K44" s="114"/>
      <c r="L44" s="114"/>
      <c r="M44" s="15"/>
      <c r="N44" s="15"/>
      <c r="O44" s="15"/>
    </row>
    <row r="45" spans="1:15" x14ac:dyDescent="0.25">
      <c r="A45" s="6"/>
      <c r="B45" s="6"/>
      <c r="C45" s="6"/>
      <c r="D45" s="6"/>
      <c r="E45" s="6"/>
      <c r="F45" s="6"/>
      <c r="G45" s="6"/>
      <c r="H45" s="6"/>
      <c r="I45" s="6"/>
      <c r="J45" s="6"/>
      <c r="K45" s="6"/>
      <c r="L45" s="6"/>
      <c r="M45" s="6"/>
      <c r="N45" s="6"/>
      <c r="O45" s="6"/>
    </row>
    <row r="46" spans="1:15" x14ac:dyDescent="0.25">
      <c r="A46" s="6"/>
      <c r="B46" s="6"/>
      <c r="C46" s="6"/>
      <c r="D46" s="6"/>
      <c r="E46" s="6" t="s">
        <v>77</v>
      </c>
      <c r="F46" s="6"/>
      <c r="G46" s="6"/>
      <c r="H46" s="6"/>
      <c r="I46" s="7"/>
      <c r="J46" s="7"/>
      <c r="K46" s="7"/>
      <c r="L46" s="6"/>
      <c r="M46" s="6"/>
      <c r="N46" s="6"/>
      <c r="O46" s="6"/>
    </row>
    <row r="47" spans="1:15" x14ac:dyDescent="0.25">
      <c r="A47" s="6"/>
      <c r="B47" s="6"/>
      <c r="C47" s="6"/>
      <c r="D47" s="6"/>
      <c r="E47" s="16"/>
      <c r="F47" s="16"/>
      <c r="G47" s="16"/>
      <c r="H47" s="6"/>
      <c r="I47" s="6"/>
      <c r="J47" s="6"/>
      <c r="K47" s="6"/>
      <c r="L47" s="6"/>
      <c r="M47" s="6"/>
      <c r="N47" s="6"/>
      <c r="O47" s="6"/>
    </row>
    <row r="48" spans="1:15" x14ac:dyDescent="0.25">
      <c r="A48" s="6"/>
      <c r="B48" s="6"/>
      <c r="C48" s="6"/>
      <c r="D48" s="6"/>
      <c r="E48" s="16"/>
      <c r="F48" s="16"/>
      <c r="G48" s="16"/>
      <c r="H48" s="6"/>
      <c r="I48" s="6"/>
      <c r="J48" s="6"/>
      <c r="K48" s="6"/>
      <c r="L48" s="6"/>
      <c r="M48" s="6"/>
      <c r="N48" s="6"/>
      <c r="O48" s="6"/>
    </row>
    <row r="49" spans="1:15" x14ac:dyDescent="0.25">
      <c r="A49" s="6"/>
      <c r="B49" s="6"/>
      <c r="C49" s="6"/>
      <c r="D49" s="6"/>
      <c r="E49" s="16"/>
      <c r="F49" s="16"/>
      <c r="G49" s="16"/>
      <c r="H49" s="6"/>
      <c r="I49" s="6"/>
      <c r="J49" s="6"/>
      <c r="K49" s="6"/>
      <c r="L49" s="6"/>
      <c r="M49" s="6"/>
      <c r="N49" s="6"/>
      <c r="O49" s="6"/>
    </row>
    <row r="50" spans="1:15" x14ac:dyDescent="0.25">
      <c r="A50" s="6"/>
      <c r="B50" s="6"/>
      <c r="C50" s="6"/>
      <c r="D50" s="6"/>
      <c r="E50" s="16"/>
      <c r="F50" s="16"/>
      <c r="G50" s="16"/>
      <c r="H50" s="6"/>
      <c r="I50" s="6"/>
      <c r="J50" s="6"/>
      <c r="K50" s="6"/>
      <c r="L50" s="6"/>
      <c r="M50" s="6"/>
      <c r="N50" s="6"/>
      <c r="O50" s="6"/>
    </row>
    <row r="51" spans="1:15" x14ac:dyDescent="0.25">
      <c r="A51" s="6"/>
      <c r="B51" s="6"/>
      <c r="C51" s="6"/>
      <c r="D51" s="6"/>
      <c r="E51" s="16"/>
      <c r="F51" s="16"/>
      <c r="G51" s="16"/>
      <c r="H51" s="6"/>
      <c r="I51" s="6"/>
      <c r="J51" s="6"/>
      <c r="K51" s="6"/>
      <c r="L51" s="6"/>
      <c r="M51" s="6"/>
      <c r="N51" s="6"/>
      <c r="O51" s="6"/>
    </row>
    <row r="52" spans="1:15" x14ac:dyDescent="0.25">
      <c r="A52" s="6"/>
      <c r="B52" s="6"/>
      <c r="C52" s="6"/>
      <c r="D52" s="6"/>
      <c r="E52" s="6"/>
      <c r="F52" s="6"/>
      <c r="G52" s="6"/>
      <c r="H52" s="6"/>
      <c r="I52" s="6"/>
      <c r="J52" s="6"/>
      <c r="K52" s="6"/>
      <c r="L52" s="6"/>
      <c r="M52" s="6"/>
      <c r="N52" s="6"/>
      <c r="O52" s="6"/>
    </row>
    <row r="53" spans="1:15" x14ac:dyDescent="0.25">
      <c r="A53" s="6"/>
      <c r="B53" s="6"/>
      <c r="C53" s="6"/>
      <c r="D53" s="6"/>
      <c r="H53" s="6"/>
      <c r="I53" s="6"/>
      <c r="J53" s="6"/>
      <c r="K53" s="6"/>
      <c r="L53" s="6"/>
      <c r="M53" s="6"/>
      <c r="N53" s="6"/>
      <c r="O53" s="6"/>
    </row>
    <row r="54" spans="1:15" x14ac:dyDescent="0.25">
      <c r="A54" s="6"/>
      <c r="B54" s="6"/>
      <c r="C54" s="6"/>
      <c r="D54" s="6"/>
      <c r="E54" s="6"/>
      <c r="F54" s="6"/>
      <c r="G54" s="6"/>
      <c r="H54" s="6"/>
      <c r="I54" s="6"/>
      <c r="J54" s="6"/>
      <c r="K54" s="6"/>
      <c r="L54" s="6"/>
      <c r="M54" s="6"/>
      <c r="N54" s="6"/>
      <c r="O54" s="6"/>
    </row>
  </sheetData>
  <sheetProtection selectLockedCells="1"/>
  <dataValidations count="1">
    <dataValidation type="list" allowBlank="1" showInputMessage="1" showErrorMessage="1" sqref="F20:F21 F17:F18 N33 J17:J18 J20:J21 N20:N21 N17 F8:F14 F33 J33 M15 N8:N14 I15 J8:J14" xr:uid="{00000000-0002-0000-0300-000000000000}">
      <formula1>$D$38:$D$39</formula1>
    </dataValidation>
  </dataValidations>
  <pageMargins left="0.39" right="0.37" top="0.52" bottom="0.49" header="0.5" footer="0.5"/>
  <pageSetup paperSize="9" scale="58" orientation="landscape" r:id="rId1"/>
  <headerFooter alignWithMargins="0">
    <oddHeader>&amp;C&amp;"Calibri"&amp;12&amp;KC00000 OFFICIAL&amp;1#_x000D_</oddHeader>
    <oddFooter>&amp;C_x000D_&amp;1#&amp;"Calibri"&amp;12&amp;KC00000 OFFICIAL</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54"/>
  <sheetViews>
    <sheetView topLeftCell="C1" zoomScale="80" zoomScaleNormal="80" workbookViewId="0">
      <selection activeCell="K37" sqref="K37:K38"/>
    </sheetView>
  </sheetViews>
  <sheetFormatPr defaultRowHeight="12.5" x14ac:dyDescent="0.25"/>
  <cols>
    <col min="1" max="1" width="8" customWidth="1"/>
    <col min="2" max="2" width="31.26953125" bestFit="1" customWidth="1"/>
    <col min="3" max="3" width="6.54296875" customWidth="1"/>
    <col min="4" max="4" width="16.7265625" customWidth="1"/>
    <col min="5" max="5" width="16.1796875" customWidth="1"/>
    <col min="6" max="6" width="29.453125" customWidth="1"/>
    <col min="7" max="7" width="46.54296875" customWidth="1"/>
    <col min="8" max="8" width="15.453125" customWidth="1"/>
    <col min="9" max="9" width="26.1796875" customWidth="1"/>
    <col min="10" max="10" width="9.26953125" customWidth="1"/>
    <col min="11" max="11" width="12" customWidth="1"/>
    <col min="12" max="12" width="13" customWidth="1"/>
    <col min="13" max="13" width="5.54296875" customWidth="1"/>
    <col min="14" max="14" width="20.453125" customWidth="1"/>
    <col min="15" max="15" width="0.1796875" customWidth="1"/>
  </cols>
  <sheetData>
    <row r="1" spans="1:16" x14ac:dyDescent="0.25">
      <c r="D1" s="21"/>
      <c r="I1" s="128">
        <v>137.4</v>
      </c>
    </row>
    <row r="2" spans="1:16" x14ac:dyDescent="0.25">
      <c r="I2" s="128">
        <v>140.69999999999999</v>
      </c>
      <c r="L2" s="5"/>
    </row>
    <row r="3" spans="1:16" x14ac:dyDescent="0.25">
      <c r="E3" s="1"/>
      <c r="F3" s="1"/>
      <c r="G3" s="1"/>
      <c r="L3" s="5"/>
    </row>
    <row r="4" spans="1:16" x14ac:dyDescent="0.25">
      <c r="A4" s="6"/>
      <c r="B4" s="19" t="s">
        <v>27</v>
      </c>
      <c r="C4" s="19"/>
      <c r="D4" s="20">
        <v>521</v>
      </c>
      <c r="E4" s="8"/>
      <c r="F4" s="8"/>
      <c r="G4" s="8"/>
      <c r="H4" s="6"/>
      <c r="I4" s="6"/>
      <c r="J4" s="6"/>
      <c r="K4" s="6"/>
      <c r="L4" s="6"/>
      <c r="M4" s="6"/>
      <c r="N4" s="6"/>
      <c r="O4" s="6"/>
    </row>
    <row r="5" spans="1:16" ht="13" thickBot="1" x14ac:dyDescent="0.3">
      <c r="A5" s="6"/>
      <c r="B5" s="6"/>
      <c r="C5" s="9"/>
      <c r="D5" s="62"/>
      <c r="E5" s="62"/>
      <c r="F5" s="9"/>
      <c r="G5" s="9"/>
      <c r="H5" s="9"/>
      <c r="I5" s="9"/>
      <c r="J5" s="9"/>
      <c r="K5" s="9"/>
      <c r="L5" s="9"/>
      <c r="M5" s="9"/>
      <c r="N5" s="9"/>
      <c r="O5" s="9"/>
    </row>
    <row r="6" spans="1:16" s="3" customFormat="1" ht="35.5" thickBot="1" x14ac:dyDescent="0.4">
      <c r="A6" s="23" t="s">
        <v>83</v>
      </c>
      <c r="B6" s="22" t="s">
        <v>82</v>
      </c>
      <c r="C6" s="10"/>
      <c r="D6" s="124" t="s">
        <v>95</v>
      </c>
      <c r="E6" s="81"/>
      <c r="F6" s="66"/>
      <c r="G6" s="66"/>
      <c r="H6" s="66"/>
      <c r="I6" s="66"/>
      <c r="J6" s="66"/>
      <c r="K6" s="66"/>
      <c r="L6" s="66"/>
      <c r="M6" s="66"/>
      <c r="N6" s="66"/>
      <c r="O6" s="66"/>
    </row>
    <row r="7" spans="1:16" ht="13.5" customHeight="1" thickBot="1" x14ac:dyDescent="0.3">
      <c r="A7" s="6"/>
      <c r="B7" s="6"/>
      <c r="C7" s="9"/>
      <c r="D7" s="67"/>
      <c r="E7" s="67"/>
      <c r="F7" s="68"/>
      <c r="G7" s="68"/>
      <c r="H7" s="67"/>
      <c r="I7" s="67"/>
      <c r="J7" s="68"/>
      <c r="K7" s="68"/>
      <c r="L7" s="67"/>
      <c r="M7" s="67"/>
      <c r="N7" s="68"/>
      <c r="O7" s="68"/>
    </row>
    <row r="8" spans="1:16" ht="13.5" thickBot="1" x14ac:dyDescent="0.35">
      <c r="D8" s="97" t="s">
        <v>96</v>
      </c>
      <c r="E8" s="98" t="s">
        <v>26</v>
      </c>
      <c r="F8" s="64"/>
      <c r="G8" s="69"/>
      <c r="H8" s="69"/>
      <c r="I8" s="64"/>
      <c r="J8" s="70"/>
      <c r="K8" s="69"/>
      <c r="L8" s="69"/>
      <c r="M8" s="64"/>
      <c r="N8" s="70"/>
      <c r="O8" s="69"/>
      <c r="P8" s="63"/>
    </row>
    <row r="9" spans="1:16" x14ac:dyDescent="0.25">
      <c r="A9" s="27" t="s">
        <v>3</v>
      </c>
      <c r="B9" s="24" t="s">
        <v>79</v>
      </c>
      <c r="C9" s="11"/>
      <c r="D9" s="80">
        <f>ROUND(763*(1.0240175),0)</f>
        <v>781</v>
      </c>
      <c r="E9" s="96"/>
      <c r="F9" s="72"/>
      <c r="G9" s="71"/>
      <c r="H9" s="71"/>
      <c r="I9" s="72"/>
      <c r="J9" s="70"/>
      <c r="K9" s="69"/>
      <c r="L9" s="71"/>
      <c r="M9" s="72"/>
      <c r="N9" s="70"/>
      <c r="O9" s="69"/>
    </row>
    <row r="10" spans="1:16" x14ac:dyDescent="0.25">
      <c r="A10" s="110" t="s">
        <v>4</v>
      </c>
      <c r="B10" s="111" t="s">
        <v>80</v>
      </c>
      <c r="C10" s="115"/>
      <c r="D10" s="116">
        <f>ROUND(E10*$D$4,0)</f>
        <v>1563</v>
      </c>
      <c r="E10" s="117">
        <v>3</v>
      </c>
      <c r="F10" s="72"/>
      <c r="G10" s="71"/>
      <c r="H10" s="71"/>
      <c r="I10" s="72"/>
      <c r="J10" s="70"/>
      <c r="K10" s="69"/>
      <c r="L10" s="71"/>
      <c r="M10" s="72"/>
      <c r="N10" s="70"/>
      <c r="O10" s="69"/>
    </row>
    <row r="11" spans="1:16" x14ac:dyDescent="0.25">
      <c r="A11" s="110" t="s">
        <v>5</v>
      </c>
      <c r="B11" s="111" t="s">
        <v>81</v>
      </c>
      <c r="C11" s="115"/>
      <c r="D11" s="116">
        <f>ROUND(E11*$D$4,0)</f>
        <v>3908</v>
      </c>
      <c r="E11" s="117">
        <v>7.5</v>
      </c>
      <c r="F11" s="72"/>
      <c r="G11" s="71"/>
      <c r="H11" s="71"/>
      <c r="I11" s="72"/>
      <c r="J11" s="70"/>
      <c r="K11" s="69"/>
      <c r="L11" s="71"/>
      <c r="M11" s="72"/>
      <c r="N11" s="70"/>
      <c r="O11" s="69"/>
    </row>
    <row r="12" spans="1:16" x14ac:dyDescent="0.25">
      <c r="A12" s="110" t="s">
        <v>19</v>
      </c>
      <c r="B12" s="111" t="s">
        <v>20</v>
      </c>
      <c r="C12" s="115"/>
      <c r="D12" s="116">
        <f>ROUND(E12*$D$4,0)</f>
        <v>2084</v>
      </c>
      <c r="E12" s="117">
        <v>4</v>
      </c>
      <c r="F12" s="72"/>
      <c r="G12" s="71"/>
      <c r="H12" s="71"/>
      <c r="I12" s="72"/>
      <c r="J12" s="70"/>
      <c r="K12" s="69"/>
      <c r="L12" s="71"/>
      <c r="M12" s="72"/>
      <c r="N12" s="70"/>
      <c r="O12" s="69"/>
    </row>
    <row r="13" spans="1:16" x14ac:dyDescent="0.25">
      <c r="A13" s="110" t="s">
        <v>21</v>
      </c>
      <c r="B13" s="111" t="s">
        <v>78</v>
      </c>
      <c r="C13" s="115"/>
      <c r="D13" s="116">
        <f>ROUND(E13*$D$4,0)</f>
        <v>2345</v>
      </c>
      <c r="E13" s="117">
        <v>4.5</v>
      </c>
      <c r="F13" s="72"/>
      <c r="G13" s="71"/>
      <c r="H13" s="71"/>
      <c r="I13" s="72"/>
      <c r="J13" s="70"/>
      <c r="K13" s="69"/>
      <c r="L13" s="71"/>
      <c r="M13" s="72"/>
      <c r="N13" s="70"/>
      <c r="O13" s="69"/>
    </row>
    <row r="14" spans="1:16" x14ac:dyDescent="0.25">
      <c r="A14" s="110" t="s">
        <v>22</v>
      </c>
      <c r="B14" s="111" t="s">
        <v>23</v>
      </c>
      <c r="C14" s="115"/>
      <c r="D14" s="118">
        <f>ROUND(E14*$D$4,0)</f>
        <v>2605</v>
      </c>
      <c r="E14" s="119">
        <v>5</v>
      </c>
      <c r="F14" s="74"/>
      <c r="G14" s="69"/>
      <c r="H14" s="69"/>
      <c r="I14" s="73"/>
      <c r="J14" s="75"/>
      <c r="K14" s="69"/>
      <c r="L14" s="69"/>
      <c r="M14" s="73"/>
      <c r="N14" s="75"/>
      <c r="O14" s="69"/>
    </row>
    <row r="15" spans="1:16" x14ac:dyDescent="0.25">
      <c r="A15" s="29" t="s">
        <v>6</v>
      </c>
      <c r="B15" s="25" t="s">
        <v>7</v>
      </c>
      <c r="C15" s="11"/>
      <c r="D15" s="87">
        <f>ROUND(ROUND(10390*ROUND($I$2/$I$1,3),0),0)</f>
        <v>10639</v>
      </c>
      <c r="E15" s="83"/>
      <c r="F15" s="65"/>
      <c r="G15" s="69"/>
      <c r="H15" s="69"/>
      <c r="I15" s="73"/>
      <c r="J15" s="75"/>
      <c r="K15" s="69"/>
      <c r="L15" s="69"/>
      <c r="M15" s="73"/>
      <c r="N15" s="75"/>
      <c r="O15" s="69"/>
    </row>
    <row r="16" spans="1:16" x14ac:dyDescent="0.25">
      <c r="A16" s="29" t="s">
        <v>8</v>
      </c>
      <c r="B16" s="25" t="s">
        <v>9</v>
      </c>
      <c r="C16" s="11"/>
      <c r="D16" s="87">
        <f>ROUND(ROUND(3540*ROUND($I$2/$I$1,3),0),0)</f>
        <v>3625</v>
      </c>
      <c r="E16" s="83"/>
      <c r="F16" s="73"/>
      <c r="G16" s="69"/>
      <c r="H16" s="69"/>
      <c r="I16" s="73"/>
      <c r="J16" s="73"/>
      <c r="K16" s="73"/>
      <c r="L16" s="69"/>
      <c r="M16" s="73"/>
      <c r="N16" s="73"/>
      <c r="O16" s="73"/>
    </row>
    <row r="17" spans="1:17" x14ac:dyDescent="0.25">
      <c r="A17" s="29" t="s">
        <v>67</v>
      </c>
      <c r="B17" s="25" t="s">
        <v>68</v>
      </c>
      <c r="C17" s="11"/>
      <c r="D17" s="82"/>
      <c r="E17" s="83"/>
      <c r="F17" s="69"/>
      <c r="G17" s="69"/>
      <c r="H17" s="73"/>
      <c r="I17" s="75"/>
      <c r="J17" s="69"/>
      <c r="K17" s="69"/>
      <c r="L17" s="73"/>
      <c r="M17" s="75"/>
      <c r="N17" s="69"/>
    </row>
    <row r="18" spans="1:17" x14ac:dyDescent="0.25">
      <c r="A18" s="29" t="s">
        <v>10</v>
      </c>
      <c r="B18" s="25" t="s">
        <v>11</v>
      </c>
      <c r="C18" s="11"/>
      <c r="D18" s="87">
        <f>ROUND(ROUND(1898*ROUND($I$2/$I$1,3),0),0)</f>
        <v>1944</v>
      </c>
      <c r="E18" s="83"/>
      <c r="F18" s="65"/>
      <c r="G18" s="69"/>
      <c r="H18" s="69"/>
      <c r="I18" s="73"/>
      <c r="J18" s="75"/>
      <c r="K18" s="69"/>
      <c r="L18" s="69"/>
      <c r="M18" s="73"/>
      <c r="N18" s="69"/>
      <c r="O18" s="4"/>
    </row>
    <row r="19" spans="1:17" x14ac:dyDescent="0.25">
      <c r="A19" s="29" t="s">
        <v>12</v>
      </c>
      <c r="B19" s="25" t="s">
        <v>13</v>
      </c>
      <c r="C19" s="11"/>
      <c r="D19" s="87">
        <f>ROUND(ROUND(1759*ROUND($I$2/$I$1,3),0),0)</f>
        <v>1801</v>
      </c>
      <c r="E19" s="83"/>
      <c r="F19" s="73"/>
      <c r="G19" s="69"/>
      <c r="H19" s="69"/>
      <c r="I19" s="73"/>
      <c r="J19" s="73"/>
      <c r="K19" s="73"/>
      <c r="L19" s="69"/>
      <c r="M19" s="73"/>
      <c r="N19" s="73"/>
      <c r="O19" s="73"/>
    </row>
    <row r="20" spans="1:17" x14ac:dyDescent="0.25">
      <c r="A20" s="29" t="s">
        <v>69</v>
      </c>
      <c r="B20" s="25" t="s">
        <v>70</v>
      </c>
      <c r="C20" s="11"/>
      <c r="D20" s="82"/>
      <c r="E20" s="83"/>
      <c r="F20" s="65"/>
      <c r="G20" s="69"/>
      <c r="H20" s="69"/>
      <c r="I20" s="73"/>
      <c r="J20" s="75"/>
      <c r="K20" s="69"/>
      <c r="L20" s="69"/>
      <c r="M20" s="73"/>
      <c r="N20" s="75"/>
      <c r="O20" s="69"/>
    </row>
    <row r="21" spans="1:17" x14ac:dyDescent="0.25">
      <c r="A21" s="29" t="s">
        <v>14</v>
      </c>
      <c r="B21" s="25" t="s">
        <v>15</v>
      </c>
      <c r="C21" s="11"/>
      <c r="D21" s="87">
        <f>ROUND(ROUND(1875*ROUND($I$2/$I$1,3),0),0)</f>
        <v>1920</v>
      </c>
      <c r="E21" s="83"/>
      <c r="F21" s="65"/>
      <c r="G21" s="69"/>
      <c r="H21" s="69"/>
      <c r="I21" s="73"/>
      <c r="J21" s="75"/>
      <c r="K21" s="69"/>
      <c r="L21" s="69"/>
      <c r="M21" s="73"/>
      <c r="N21" s="75"/>
      <c r="O21" s="69"/>
    </row>
    <row r="22" spans="1:17" x14ac:dyDescent="0.25">
      <c r="A22" s="29" t="s">
        <v>16</v>
      </c>
      <c r="B22" s="25" t="s">
        <v>17</v>
      </c>
      <c r="C22" s="11"/>
      <c r="D22" s="87">
        <f>ROUND(ROUND(8491*ROUND($I$2/$I$1,3),0),0)</f>
        <v>8695</v>
      </c>
      <c r="E22" s="83"/>
      <c r="F22" s="73"/>
      <c r="G22" s="69"/>
      <c r="H22" s="69"/>
      <c r="I22" s="73"/>
      <c r="J22" s="73"/>
      <c r="K22" s="73"/>
      <c r="L22" s="69"/>
      <c r="M22" s="73"/>
      <c r="N22" s="73"/>
      <c r="O22" s="73"/>
    </row>
    <row r="23" spans="1:17" x14ac:dyDescent="0.25">
      <c r="A23" s="29" t="s">
        <v>61</v>
      </c>
      <c r="B23" s="25" t="s">
        <v>17</v>
      </c>
      <c r="C23" s="11"/>
      <c r="D23" s="84"/>
      <c r="E23" s="85"/>
      <c r="F23" s="73"/>
      <c r="G23" s="69"/>
      <c r="H23" s="69"/>
      <c r="I23" s="73"/>
      <c r="J23" s="73"/>
      <c r="K23" s="73"/>
      <c r="L23" s="69"/>
      <c r="M23" s="73"/>
      <c r="N23" s="73"/>
      <c r="O23" s="73"/>
    </row>
    <row r="24" spans="1:17" x14ac:dyDescent="0.25">
      <c r="A24" s="29" t="s">
        <v>28</v>
      </c>
      <c r="B24" s="25" t="s">
        <v>29</v>
      </c>
      <c r="C24" s="11"/>
      <c r="D24" s="82"/>
      <c r="E24" s="83"/>
      <c r="F24" s="73"/>
      <c r="G24" s="69"/>
      <c r="H24" s="69"/>
      <c r="I24" s="73"/>
      <c r="J24" s="73"/>
      <c r="K24" s="73"/>
      <c r="L24" s="69"/>
      <c r="M24" s="73"/>
      <c r="N24" s="73"/>
      <c r="O24" s="73"/>
    </row>
    <row r="25" spans="1:17" x14ac:dyDescent="0.25">
      <c r="A25" s="29" t="s">
        <v>31</v>
      </c>
      <c r="B25" s="25" t="s">
        <v>32</v>
      </c>
      <c r="C25" s="11"/>
      <c r="D25" s="82"/>
      <c r="E25" s="83"/>
      <c r="F25" s="73"/>
      <c r="G25" s="69"/>
      <c r="H25" s="69"/>
      <c r="I25" s="73"/>
      <c r="J25" s="73"/>
      <c r="K25" s="73"/>
      <c r="L25" s="69"/>
      <c r="M25" s="73"/>
      <c r="N25" s="73"/>
      <c r="O25" s="73"/>
    </row>
    <row r="26" spans="1:17" x14ac:dyDescent="0.25">
      <c r="A26" s="29" t="s">
        <v>33</v>
      </c>
      <c r="B26" s="25" t="s">
        <v>34</v>
      </c>
      <c r="C26" s="11"/>
      <c r="D26" s="82"/>
      <c r="E26" s="83"/>
      <c r="F26" s="73"/>
      <c r="G26" s="69"/>
      <c r="H26" s="69"/>
      <c r="I26" s="73"/>
      <c r="J26" s="73"/>
      <c r="K26" s="73"/>
      <c r="L26" s="69"/>
      <c r="M26" s="73"/>
      <c r="N26" s="73"/>
      <c r="O26" s="73"/>
    </row>
    <row r="27" spans="1:17" x14ac:dyDescent="0.25">
      <c r="A27" s="29" t="s">
        <v>35</v>
      </c>
      <c r="B27" s="25" t="s">
        <v>36</v>
      </c>
      <c r="C27" s="11"/>
      <c r="D27" s="82"/>
      <c r="E27" s="83"/>
      <c r="F27" s="73"/>
      <c r="G27" s="69"/>
      <c r="H27" s="69"/>
      <c r="I27" s="73"/>
      <c r="J27" s="73"/>
      <c r="K27" s="73"/>
      <c r="L27" s="69"/>
      <c r="M27" s="73"/>
      <c r="N27" s="73"/>
      <c r="O27" s="73"/>
    </row>
    <row r="28" spans="1:17" x14ac:dyDescent="0.25">
      <c r="A28" s="29" t="s">
        <v>37</v>
      </c>
      <c r="B28" s="25" t="s">
        <v>48</v>
      </c>
      <c r="C28" s="11"/>
      <c r="D28" s="82"/>
      <c r="E28" s="83"/>
      <c r="F28" s="73"/>
      <c r="G28" s="69"/>
      <c r="H28" s="69"/>
      <c r="I28" s="73"/>
      <c r="J28" s="73"/>
      <c r="K28" s="73"/>
      <c r="L28" s="69"/>
      <c r="M28" s="73"/>
      <c r="N28" s="73"/>
      <c r="O28" s="73"/>
    </row>
    <row r="29" spans="1:17" x14ac:dyDescent="0.25">
      <c r="A29" s="29" t="s">
        <v>38</v>
      </c>
      <c r="B29" s="25" t="s">
        <v>39</v>
      </c>
      <c r="C29" s="11"/>
      <c r="D29" s="82"/>
      <c r="E29" s="83"/>
      <c r="F29" s="73"/>
      <c r="G29" s="69"/>
      <c r="H29" s="69"/>
      <c r="I29" s="73"/>
      <c r="J29" s="73"/>
      <c r="K29" s="73"/>
      <c r="L29" s="69"/>
      <c r="M29" s="73"/>
      <c r="N29" s="73"/>
      <c r="O29" s="73"/>
      <c r="Q29" s="4"/>
    </row>
    <row r="30" spans="1:17" x14ac:dyDescent="0.25">
      <c r="A30" s="29" t="s">
        <v>40</v>
      </c>
      <c r="B30" s="25" t="s">
        <v>41</v>
      </c>
      <c r="C30" s="11"/>
      <c r="D30" s="82"/>
      <c r="E30" s="83"/>
      <c r="F30" s="73"/>
      <c r="G30" s="69"/>
      <c r="H30" s="69"/>
      <c r="I30" s="73"/>
      <c r="J30" s="73"/>
      <c r="K30" s="73"/>
      <c r="L30" s="69"/>
      <c r="M30" s="73"/>
      <c r="N30" s="73"/>
      <c r="O30" s="73"/>
      <c r="P30" s="4"/>
    </row>
    <row r="31" spans="1:17" x14ac:dyDescent="0.25">
      <c r="A31" s="29" t="s">
        <v>42</v>
      </c>
      <c r="B31" s="25" t="s">
        <v>43</v>
      </c>
      <c r="C31" s="11"/>
      <c r="D31" s="86"/>
      <c r="E31" s="51"/>
      <c r="F31" s="73"/>
      <c r="G31" s="69"/>
      <c r="H31" s="69"/>
      <c r="I31" s="73"/>
      <c r="J31" s="73"/>
      <c r="K31" s="73"/>
      <c r="L31" s="69"/>
      <c r="M31" s="73"/>
      <c r="N31" s="73"/>
      <c r="O31" s="73"/>
    </row>
    <row r="32" spans="1:17" x14ac:dyDescent="0.25">
      <c r="A32" s="29" t="s">
        <v>44</v>
      </c>
      <c r="B32" s="25" t="s">
        <v>45</v>
      </c>
      <c r="C32" s="11"/>
      <c r="D32" s="82"/>
      <c r="E32" s="83"/>
      <c r="F32" s="73"/>
      <c r="G32" s="69"/>
      <c r="H32" s="69"/>
      <c r="I32" s="73"/>
      <c r="J32" s="73"/>
      <c r="K32" s="73"/>
      <c r="L32" s="69"/>
      <c r="M32" s="73"/>
      <c r="N32" s="73"/>
      <c r="O32" s="73"/>
      <c r="P32" s="4"/>
    </row>
    <row r="33" spans="1:15" x14ac:dyDescent="0.25">
      <c r="A33" s="29" t="s">
        <v>46</v>
      </c>
      <c r="B33" s="25" t="s">
        <v>47</v>
      </c>
      <c r="C33" s="11"/>
      <c r="D33" s="82"/>
      <c r="E33" s="83"/>
      <c r="F33" s="74"/>
      <c r="G33" s="69"/>
      <c r="H33" s="69"/>
      <c r="I33" s="73"/>
      <c r="J33" s="74"/>
      <c r="K33" s="69"/>
      <c r="L33" s="69"/>
      <c r="M33" s="73"/>
      <c r="N33" s="74"/>
      <c r="O33" s="69"/>
    </row>
    <row r="34" spans="1:15" ht="13" thickBot="1" x14ac:dyDescent="0.3">
      <c r="A34" s="30" t="s">
        <v>18</v>
      </c>
      <c r="B34" s="26" t="s">
        <v>24</v>
      </c>
      <c r="C34" s="11"/>
      <c r="D34" s="88"/>
      <c r="E34" s="89"/>
      <c r="F34" s="76"/>
      <c r="G34" s="76"/>
      <c r="H34" s="76"/>
      <c r="I34" s="76"/>
      <c r="J34" s="76"/>
      <c r="K34" s="76"/>
      <c r="L34" s="76"/>
      <c r="M34" s="76"/>
      <c r="N34" s="76"/>
      <c r="O34" s="76"/>
    </row>
    <row r="35" spans="1:15" ht="13" thickBot="1" x14ac:dyDescent="0.3">
      <c r="A35" s="6"/>
      <c r="B35" s="6"/>
      <c r="C35" s="6"/>
      <c r="D35" s="90"/>
      <c r="E35" s="91"/>
      <c r="F35" s="78"/>
      <c r="G35" s="77"/>
      <c r="H35" s="77"/>
      <c r="I35" s="78"/>
      <c r="J35" s="78"/>
      <c r="K35" s="77"/>
      <c r="L35" s="77"/>
      <c r="M35" s="78"/>
      <c r="N35" s="78"/>
      <c r="O35" s="77"/>
    </row>
    <row r="36" spans="1:15" ht="15.5" thickBot="1" x14ac:dyDescent="0.3">
      <c r="A36" s="6"/>
      <c r="B36" s="13" t="s">
        <v>74</v>
      </c>
      <c r="C36" s="9"/>
      <c r="D36" s="39">
        <f>SUM(D9:D34)</f>
        <v>41910</v>
      </c>
      <c r="E36" s="79"/>
      <c r="F36" s="6"/>
      <c r="G36" s="6"/>
      <c r="H36" s="6"/>
      <c r="I36" s="6"/>
      <c r="J36" s="6"/>
      <c r="K36" s="6"/>
      <c r="L36" s="6"/>
      <c r="M36" s="6"/>
      <c r="N36" s="6"/>
      <c r="O36" s="6"/>
    </row>
    <row r="37" spans="1:15" x14ac:dyDescent="0.25">
      <c r="A37" s="6"/>
      <c r="B37" s="6"/>
      <c r="C37" s="6"/>
      <c r="D37" s="6"/>
      <c r="E37" s="6"/>
      <c r="F37" s="6"/>
      <c r="G37" s="6"/>
      <c r="H37" s="6"/>
      <c r="I37" s="6"/>
      <c r="J37" s="6"/>
      <c r="K37" s="6"/>
      <c r="L37" s="6"/>
      <c r="M37" s="6"/>
      <c r="N37" s="6"/>
      <c r="O37" s="6"/>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c r="E40" s="6"/>
      <c r="F40" s="6"/>
      <c r="G40" s="6"/>
      <c r="H40" s="6"/>
      <c r="I40" s="6"/>
      <c r="J40" s="6"/>
      <c r="K40" s="6"/>
      <c r="L40" s="6"/>
      <c r="M40" s="6"/>
      <c r="N40" s="6"/>
      <c r="O40" s="6"/>
    </row>
    <row r="41" spans="1:15" x14ac:dyDescent="0.25">
      <c r="A41" s="6"/>
      <c r="B41" s="6"/>
      <c r="C41" s="6"/>
      <c r="D41" s="6" t="s">
        <v>49</v>
      </c>
      <c r="E41" s="6"/>
      <c r="F41" s="6"/>
      <c r="G41" s="6"/>
      <c r="H41" s="6"/>
      <c r="I41" s="6"/>
      <c r="J41" s="6"/>
      <c r="K41" s="6"/>
      <c r="L41" s="6"/>
      <c r="M41" s="6"/>
      <c r="N41" s="6"/>
      <c r="O41" s="6"/>
    </row>
    <row r="42" spans="1:15" x14ac:dyDescent="0.25">
      <c r="A42" s="6"/>
      <c r="B42" s="6"/>
      <c r="C42" s="6"/>
      <c r="D42" s="6"/>
      <c r="E42" s="9"/>
      <c r="F42" s="9"/>
      <c r="G42" s="9"/>
      <c r="H42" s="6"/>
      <c r="I42" s="6"/>
      <c r="J42" s="6"/>
      <c r="K42" s="6"/>
      <c r="L42" s="6"/>
      <c r="M42" s="6"/>
      <c r="N42" s="6"/>
      <c r="O42" s="6"/>
    </row>
    <row r="43" spans="1:15" x14ac:dyDescent="0.25">
      <c r="A43" s="6"/>
      <c r="B43" s="6"/>
      <c r="C43" s="6"/>
      <c r="D43" s="14"/>
      <c r="E43" s="6" t="s">
        <v>66</v>
      </c>
      <c r="F43" s="6"/>
      <c r="G43" s="6"/>
      <c r="H43" s="6"/>
      <c r="I43" s="6"/>
      <c r="J43" s="6"/>
      <c r="K43" s="6"/>
      <c r="L43" s="6"/>
      <c r="M43" s="6"/>
      <c r="N43" s="6"/>
      <c r="O43" s="6"/>
    </row>
    <row r="44" spans="1:15" x14ac:dyDescent="0.25">
      <c r="A44" s="6"/>
      <c r="B44" s="6"/>
      <c r="C44" s="6"/>
      <c r="D44" s="6"/>
      <c r="E44" s="114" t="s">
        <v>76</v>
      </c>
      <c r="F44" s="114"/>
      <c r="G44" s="114"/>
      <c r="H44" s="114"/>
      <c r="I44" s="114"/>
      <c r="J44" s="114"/>
      <c r="K44" s="114"/>
      <c r="L44" s="114"/>
      <c r="M44" s="15"/>
      <c r="N44" s="15"/>
      <c r="O44" s="15"/>
    </row>
    <row r="45" spans="1:15" x14ac:dyDescent="0.25">
      <c r="A45" s="6"/>
      <c r="B45" s="6"/>
      <c r="C45" s="6"/>
      <c r="D45" s="6"/>
      <c r="E45" s="6"/>
      <c r="F45" s="6"/>
      <c r="G45" s="6"/>
      <c r="H45" s="6"/>
      <c r="I45" s="6"/>
      <c r="J45" s="6"/>
      <c r="K45" s="6"/>
      <c r="L45" s="6"/>
      <c r="M45" s="6"/>
      <c r="N45" s="6"/>
      <c r="O45" s="6"/>
    </row>
    <row r="46" spans="1:15" x14ac:dyDescent="0.25">
      <c r="A46" s="6"/>
      <c r="B46" s="6"/>
      <c r="C46" s="6"/>
      <c r="D46" s="6"/>
      <c r="E46" s="6" t="s">
        <v>77</v>
      </c>
      <c r="F46" s="6"/>
      <c r="G46" s="6"/>
      <c r="H46" s="6"/>
      <c r="I46" s="7"/>
      <c r="J46" s="7"/>
      <c r="K46" s="7"/>
      <c r="L46" s="6"/>
      <c r="M46" s="6"/>
      <c r="N46" s="6"/>
      <c r="O46" s="6"/>
    </row>
    <row r="47" spans="1:15" x14ac:dyDescent="0.25">
      <c r="A47" s="6"/>
      <c r="B47" s="6"/>
      <c r="C47" s="6"/>
      <c r="D47" s="6"/>
      <c r="E47" s="16"/>
      <c r="F47" s="16"/>
      <c r="G47" s="16"/>
      <c r="H47" s="6"/>
      <c r="I47" s="6"/>
      <c r="J47" s="6"/>
      <c r="K47" s="6"/>
      <c r="L47" s="6"/>
      <c r="M47" s="6"/>
      <c r="N47" s="6"/>
      <c r="O47" s="6"/>
    </row>
    <row r="48" spans="1:15" x14ac:dyDescent="0.25">
      <c r="A48" s="6"/>
      <c r="B48" s="6"/>
      <c r="C48" s="6"/>
      <c r="D48" s="6"/>
      <c r="E48" s="16"/>
      <c r="F48" s="16"/>
      <c r="G48" s="16"/>
      <c r="H48" s="6"/>
      <c r="I48" s="6"/>
      <c r="J48" s="6"/>
      <c r="K48" s="6"/>
      <c r="L48" s="6"/>
      <c r="M48" s="6"/>
      <c r="N48" s="6"/>
      <c r="O48" s="6"/>
    </row>
    <row r="49" spans="1:15" x14ac:dyDescent="0.25">
      <c r="A49" s="6"/>
      <c r="B49" s="6"/>
      <c r="C49" s="6"/>
      <c r="D49" s="6"/>
      <c r="E49" s="16"/>
      <c r="F49" s="16"/>
      <c r="G49" s="16"/>
      <c r="H49" s="6"/>
      <c r="I49" s="6"/>
      <c r="J49" s="6"/>
      <c r="K49" s="6"/>
      <c r="L49" s="6"/>
      <c r="M49" s="6"/>
      <c r="N49" s="6"/>
      <c r="O49" s="6"/>
    </row>
    <row r="50" spans="1:15" x14ac:dyDescent="0.25">
      <c r="A50" s="6"/>
      <c r="B50" s="6"/>
      <c r="C50" s="6"/>
      <c r="D50" s="6"/>
      <c r="E50" s="16"/>
      <c r="F50" s="16"/>
      <c r="G50" s="16"/>
      <c r="H50" s="6"/>
      <c r="I50" s="6"/>
      <c r="J50" s="6"/>
      <c r="K50" s="6"/>
      <c r="L50" s="6"/>
      <c r="M50" s="6"/>
      <c r="N50" s="6"/>
      <c r="O50" s="6"/>
    </row>
    <row r="51" spans="1:15" x14ac:dyDescent="0.25">
      <c r="A51" s="6"/>
      <c r="B51" s="6"/>
      <c r="C51" s="6"/>
      <c r="D51" s="6"/>
      <c r="E51" s="16"/>
      <c r="F51" s="16"/>
      <c r="G51" s="16"/>
      <c r="H51" s="6"/>
      <c r="I51" s="6"/>
      <c r="J51" s="6"/>
      <c r="K51" s="6"/>
      <c r="L51" s="6"/>
      <c r="M51" s="6"/>
      <c r="N51" s="6"/>
      <c r="O51" s="6"/>
    </row>
    <row r="52" spans="1:15" x14ac:dyDescent="0.25">
      <c r="A52" s="6"/>
      <c r="B52" s="6"/>
      <c r="C52" s="6"/>
      <c r="D52" s="6"/>
      <c r="E52" s="6"/>
      <c r="F52" s="6"/>
      <c r="G52" s="6"/>
      <c r="H52" s="6"/>
      <c r="I52" s="6"/>
      <c r="J52" s="6"/>
      <c r="K52" s="6"/>
      <c r="L52" s="6"/>
      <c r="M52" s="6"/>
      <c r="N52" s="6"/>
      <c r="O52" s="6"/>
    </row>
    <row r="53" spans="1:15" x14ac:dyDescent="0.25">
      <c r="A53" s="6"/>
      <c r="B53" s="6"/>
      <c r="C53" s="6"/>
      <c r="D53" s="6"/>
      <c r="H53" s="6"/>
      <c r="I53" s="6"/>
      <c r="J53" s="6"/>
      <c r="K53" s="6"/>
      <c r="L53" s="6"/>
      <c r="M53" s="6"/>
      <c r="N53" s="6"/>
      <c r="O53" s="6"/>
    </row>
    <row r="54" spans="1:15" x14ac:dyDescent="0.25">
      <c r="A54" s="6"/>
      <c r="B54" s="6"/>
      <c r="C54" s="6"/>
      <c r="D54" s="6"/>
      <c r="E54" s="6"/>
      <c r="F54" s="6"/>
      <c r="G54" s="6"/>
      <c r="H54" s="6"/>
      <c r="I54" s="6"/>
      <c r="J54" s="6"/>
      <c r="K54" s="6"/>
      <c r="L54" s="6"/>
      <c r="M54" s="6"/>
      <c r="N54" s="6"/>
      <c r="O54" s="6"/>
    </row>
  </sheetData>
  <sheetProtection selectLockedCells="1"/>
  <dataValidations count="1">
    <dataValidation type="list" allowBlank="1" showInputMessage="1" showErrorMessage="1" sqref="F20:F21 F18 N33 J8:J15 J20:J21 N20:N21 M17 F8:F15 F33 J33 N8:N15 I17 J18" xr:uid="{00000000-0002-0000-0400-000000000000}">
      <formula1>$D$38:$D$39</formula1>
    </dataValidation>
  </dataValidations>
  <pageMargins left="0.39" right="0.37" top="0.52" bottom="0.49" header="0.5" footer="0.5"/>
  <pageSetup paperSize="9" scale="58" orientation="landscape" r:id="rId1"/>
  <headerFooter alignWithMargins="0">
    <oddHeader>&amp;C&amp;"Calibri"&amp;12&amp;KC00000 OFFICIAL&amp;1#_x000D_</oddHeader>
    <oddFooter>&amp;C_x000D_&amp;1#&amp;"Calibri"&amp;12&amp;KC00000 OFFICIAL</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54"/>
  <sheetViews>
    <sheetView zoomScale="80" zoomScaleNormal="80" workbookViewId="0">
      <selection activeCell="D13" sqref="D13"/>
    </sheetView>
  </sheetViews>
  <sheetFormatPr defaultRowHeight="12.5" x14ac:dyDescent="0.25"/>
  <cols>
    <col min="1" max="1" width="8" customWidth="1"/>
    <col min="2" max="2" width="31.26953125" bestFit="1" customWidth="1"/>
    <col min="3" max="3" width="6.54296875" customWidth="1"/>
    <col min="4" max="4" width="16.7265625" customWidth="1"/>
    <col min="5" max="5" width="16.1796875" customWidth="1"/>
    <col min="6" max="6" width="29.453125" customWidth="1"/>
    <col min="7" max="7" width="46.54296875" customWidth="1"/>
    <col min="8" max="8" width="15.453125" customWidth="1"/>
    <col min="9" max="9" width="26.1796875" customWidth="1"/>
    <col min="10" max="10" width="9.26953125" customWidth="1"/>
    <col min="11" max="11" width="12" customWidth="1"/>
    <col min="12" max="12" width="13" customWidth="1"/>
    <col min="13" max="13" width="5.54296875" customWidth="1"/>
    <col min="14" max="14" width="20.453125" customWidth="1"/>
    <col min="15" max="15" width="0.1796875" customWidth="1"/>
  </cols>
  <sheetData>
    <row r="1" spans="1:16" x14ac:dyDescent="0.25">
      <c r="D1" s="21"/>
    </row>
    <row r="2" spans="1:16" x14ac:dyDescent="0.25">
      <c r="L2" s="5"/>
    </row>
    <row r="3" spans="1:16" x14ac:dyDescent="0.25">
      <c r="E3" s="1"/>
      <c r="F3" s="1"/>
      <c r="G3" s="1"/>
      <c r="L3" s="5"/>
    </row>
    <row r="4" spans="1:16" x14ac:dyDescent="0.25">
      <c r="A4" s="6"/>
      <c r="B4" s="19" t="s">
        <v>27</v>
      </c>
      <c r="C4" s="19"/>
      <c r="D4" s="20">
        <v>521</v>
      </c>
      <c r="E4" s="8"/>
      <c r="F4" s="8"/>
      <c r="G4" s="8"/>
      <c r="H4" s="6"/>
      <c r="I4" s="6"/>
      <c r="J4" s="6"/>
      <c r="K4" s="6"/>
      <c r="L4" s="6"/>
      <c r="M4" s="6"/>
      <c r="N4" s="6"/>
      <c r="O4" s="6"/>
    </row>
    <row r="5" spans="1:16" ht="13" thickBot="1" x14ac:dyDescent="0.3">
      <c r="A5" s="6"/>
      <c r="B5" s="6"/>
      <c r="C5" s="9"/>
      <c r="D5" s="62"/>
      <c r="E5" s="62"/>
      <c r="F5" s="9"/>
      <c r="G5" s="9"/>
      <c r="H5" s="9"/>
      <c r="I5" s="9"/>
      <c r="J5" s="9"/>
      <c r="K5" s="9"/>
      <c r="L5" s="9"/>
      <c r="M5" s="9"/>
      <c r="N5" s="9"/>
      <c r="O5" s="9"/>
    </row>
    <row r="6" spans="1:16" s="3" customFormat="1" ht="35.5" thickBot="1" x14ac:dyDescent="0.4">
      <c r="A6" s="23" t="s">
        <v>83</v>
      </c>
      <c r="B6" s="22" t="s">
        <v>82</v>
      </c>
      <c r="C6" s="10"/>
      <c r="D6" s="124" t="s">
        <v>124</v>
      </c>
      <c r="E6" s="81"/>
      <c r="F6" s="66"/>
      <c r="G6" s="66"/>
      <c r="H6" s="66"/>
      <c r="I6" s="66"/>
      <c r="J6" s="66"/>
      <c r="K6" s="66"/>
      <c r="L6" s="66"/>
      <c r="M6" s="66"/>
      <c r="N6" s="66"/>
      <c r="O6" s="66"/>
    </row>
    <row r="7" spans="1:16" ht="13.5" customHeight="1" thickBot="1" x14ac:dyDescent="0.3">
      <c r="A7" s="6"/>
      <c r="B7" s="6"/>
      <c r="C7" s="9"/>
      <c r="D7" s="67"/>
      <c r="E7" s="67"/>
      <c r="F7" s="68"/>
      <c r="G7" s="68"/>
      <c r="H7" s="67"/>
      <c r="I7" s="67"/>
      <c r="J7" s="68"/>
      <c r="K7" s="68"/>
      <c r="L7" s="67"/>
      <c r="M7" s="67"/>
      <c r="N7" s="68"/>
      <c r="O7" s="68"/>
    </row>
    <row r="8" spans="1:16" ht="13" thickBot="1" x14ac:dyDescent="0.3">
      <c r="D8" s="99" t="s">
        <v>96</v>
      </c>
      <c r="E8" s="100" t="s">
        <v>26</v>
      </c>
      <c r="F8" s="64"/>
      <c r="G8" s="69"/>
      <c r="H8" s="69"/>
      <c r="I8" s="64"/>
      <c r="J8" s="70"/>
      <c r="K8" s="69"/>
      <c r="L8" s="69"/>
      <c r="M8" s="64"/>
      <c r="N8" s="70"/>
      <c r="O8" s="69"/>
      <c r="P8" s="63"/>
    </row>
    <row r="9" spans="1:16" x14ac:dyDescent="0.25">
      <c r="A9" s="27" t="s">
        <v>3</v>
      </c>
      <c r="B9" s="24" t="s">
        <v>79</v>
      </c>
      <c r="C9" s="11"/>
      <c r="D9" s="80">
        <f>ROUND(763*(1.0240175),0)</f>
        <v>781</v>
      </c>
      <c r="E9" s="96"/>
      <c r="F9" s="72"/>
      <c r="G9" s="71"/>
      <c r="H9" s="71"/>
      <c r="I9" s="72"/>
      <c r="J9" s="70"/>
      <c r="K9" s="69"/>
      <c r="L9" s="71"/>
      <c r="M9" s="72"/>
      <c r="N9" s="70"/>
      <c r="O9" s="69"/>
    </row>
    <row r="10" spans="1:16" x14ac:dyDescent="0.25">
      <c r="A10" s="110" t="s">
        <v>4</v>
      </c>
      <c r="B10" s="111" t="s">
        <v>80</v>
      </c>
      <c r="C10" s="115"/>
      <c r="D10" s="116">
        <f>ROUND(E10*$D$4,0)</f>
        <v>3647</v>
      </c>
      <c r="E10" s="117">
        <v>7</v>
      </c>
      <c r="F10" s="72"/>
      <c r="G10" s="71"/>
      <c r="H10" s="71"/>
      <c r="I10" s="72"/>
      <c r="J10" s="70"/>
      <c r="K10" s="69"/>
      <c r="L10" s="71"/>
      <c r="M10" s="72"/>
      <c r="N10" s="70"/>
      <c r="O10" s="69"/>
    </row>
    <row r="11" spans="1:16" x14ac:dyDescent="0.25">
      <c r="A11" s="110" t="s">
        <v>5</v>
      </c>
      <c r="B11" s="111" t="s">
        <v>81</v>
      </c>
      <c r="C11" s="115"/>
      <c r="D11" s="120"/>
      <c r="E11" s="121"/>
      <c r="F11" s="72"/>
      <c r="G11" s="71"/>
      <c r="H11" s="71"/>
      <c r="I11" s="72"/>
      <c r="J11" s="70"/>
      <c r="K11" s="69"/>
      <c r="L11" s="71"/>
      <c r="M11" s="72"/>
      <c r="N11" s="70"/>
      <c r="O11" s="69"/>
    </row>
    <row r="12" spans="1:16" x14ac:dyDescent="0.25">
      <c r="A12" s="110" t="s">
        <v>19</v>
      </c>
      <c r="B12" s="111" t="s">
        <v>20</v>
      </c>
      <c r="C12" s="115"/>
      <c r="D12" s="120"/>
      <c r="E12" s="121"/>
      <c r="F12" s="72"/>
      <c r="G12" s="71"/>
      <c r="H12" s="71"/>
      <c r="I12" s="72"/>
      <c r="J12" s="70"/>
      <c r="K12" s="69"/>
      <c r="L12" s="71"/>
      <c r="M12" s="72"/>
      <c r="N12" s="70"/>
      <c r="O12" s="69"/>
    </row>
    <row r="13" spans="1:16" x14ac:dyDescent="0.25">
      <c r="A13" s="110" t="s">
        <v>21</v>
      </c>
      <c r="B13" s="111" t="s">
        <v>78</v>
      </c>
      <c r="C13" s="115"/>
      <c r="D13" s="116">
        <f>ROUND(E13*$D$4,0)</f>
        <v>1824</v>
      </c>
      <c r="E13" s="117">
        <v>3.5</v>
      </c>
      <c r="F13" s="72"/>
      <c r="G13" s="71"/>
      <c r="H13" s="71"/>
      <c r="I13" s="72"/>
      <c r="J13" s="70"/>
      <c r="K13" s="69"/>
      <c r="L13" s="71"/>
      <c r="M13" s="72"/>
      <c r="N13" s="70"/>
      <c r="O13" s="69"/>
    </row>
    <row r="14" spans="1:16" x14ac:dyDescent="0.25">
      <c r="A14" s="110" t="s">
        <v>22</v>
      </c>
      <c r="B14" s="111" t="s">
        <v>23</v>
      </c>
      <c r="C14" s="115"/>
      <c r="D14" s="118">
        <f>ROUND(E14*$D$4,0)</f>
        <v>3126</v>
      </c>
      <c r="E14" s="119">
        <v>6</v>
      </c>
      <c r="F14" s="74"/>
      <c r="G14" s="69"/>
      <c r="H14" s="69"/>
      <c r="I14" s="73"/>
      <c r="J14" s="75"/>
      <c r="K14" s="69"/>
      <c r="L14" s="69"/>
      <c r="M14" s="73"/>
      <c r="N14" s="75"/>
      <c r="O14" s="69"/>
    </row>
    <row r="15" spans="1:16" x14ac:dyDescent="0.25">
      <c r="A15" s="29" t="s">
        <v>6</v>
      </c>
      <c r="B15" s="25" t="s">
        <v>7</v>
      </c>
      <c r="C15" s="11"/>
      <c r="D15" s="82"/>
      <c r="E15" s="83"/>
      <c r="F15" s="65"/>
      <c r="G15" s="69"/>
      <c r="H15" s="69"/>
      <c r="I15" s="73"/>
      <c r="J15" s="75"/>
      <c r="K15" s="69"/>
      <c r="L15" s="69"/>
      <c r="M15" s="73"/>
      <c r="N15" s="75"/>
      <c r="O15" s="69"/>
    </row>
    <row r="16" spans="1:16" x14ac:dyDescent="0.25">
      <c r="A16" s="29" t="s">
        <v>8</v>
      </c>
      <c r="B16" s="25" t="s">
        <v>9</v>
      </c>
      <c r="C16" s="11"/>
      <c r="D16" s="82"/>
      <c r="E16" s="83"/>
      <c r="F16" s="73"/>
      <c r="G16" s="69"/>
      <c r="H16" s="69"/>
      <c r="I16" s="73"/>
      <c r="J16" s="73"/>
      <c r="K16" s="73"/>
      <c r="L16" s="69"/>
      <c r="M16" s="73"/>
      <c r="N16" s="73"/>
      <c r="O16" s="73"/>
    </row>
    <row r="17" spans="1:17" x14ac:dyDescent="0.25">
      <c r="A17" s="29" t="s">
        <v>67</v>
      </c>
      <c r="B17" s="25" t="s">
        <v>68</v>
      </c>
      <c r="C17" s="11"/>
      <c r="D17" s="82"/>
      <c r="E17" s="83"/>
      <c r="F17" s="65"/>
      <c r="G17" s="69"/>
      <c r="H17" s="69"/>
      <c r="I17" s="73"/>
      <c r="J17" s="75"/>
      <c r="K17" s="69"/>
      <c r="L17" s="69"/>
      <c r="M17" s="73"/>
      <c r="N17" s="75"/>
      <c r="O17" s="69"/>
    </row>
    <row r="18" spans="1:17" x14ac:dyDescent="0.25">
      <c r="A18" s="29" t="s">
        <v>10</v>
      </c>
      <c r="B18" s="25" t="s">
        <v>11</v>
      </c>
      <c r="C18" s="11"/>
      <c r="D18" s="82"/>
      <c r="E18" s="83"/>
      <c r="F18" s="65"/>
      <c r="G18" s="69"/>
      <c r="H18" s="69"/>
      <c r="I18" s="73"/>
      <c r="J18" s="75"/>
      <c r="K18" s="69"/>
      <c r="L18" s="69"/>
      <c r="M18" s="73"/>
      <c r="N18" s="69"/>
      <c r="O18" s="4"/>
    </row>
    <row r="19" spans="1:17" x14ac:dyDescent="0.25">
      <c r="A19" s="29" t="s">
        <v>12</v>
      </c>
      <c r="B19" s="25" t="s">
        <v>13</v>
      </c>
      <c r="C19" s="11"/>
      <c r="D19" s="82"/>
      <c r="E19" s="83"/>
      <c r="F19" s="73"/>
      <c r="G19" s="69"/>
      <c r="H19" s="69"/>
      <c r="I19" s="73"/>
      <c r="J19" s="73"/>
      <c r="K19" s="73"/>
      <c r="L19" s="69"/>
      <c r="M19" s="73"/>
      <c r="N19" s="73"/>
      <c r="O19" s="73"/>
    </row>
    <row r="20" spans="1:17" x14ac:dyDescent="0.25">
      <c r="A20" s="29" t="s">
        <v>69</v>
      </c>
      <c r="B20" s="25" t="s">
        <v>70</v>
      </c>
      <c r="C20" s="11"/>
      <c r="D20" s="82"/>
      <c r="E20" s="83"/>
      <c r="F20" s="65"/>
      <c r="G20" s="69"/>
      <c r="H20" s="69"/>
      <c r="I20" s="73"/>
      <c r="J20" s="75"/>
      <c r="K20" s="69"/>
      <c r="L20" s="69"/>
      <c r="M20" s="73"/>
      <c r="N20" s="75"/>
      <c r="O20" s="69"/>
    </row>
    <row r="21" spans="1:17" x14ac:dyDescent="0.25">
      <c r="A21" s="29" t="s">
        <v>14</v>
      </c>
      <c r="B21" s="25" t="s">
        <v>15</v>
      </c>
      <c r="C21" s="11"/>
      <c r="D21" s="82"/>
      <c r="E21" s="83"/>
      <c r="F21" s="65"/>
      <c r="G21" s="69"/>
      <c r="H21" s="69"/>
      <c r="I21" s="73"/>
      <c r="J21" s="75"/>
      <c r="K21" s="69"/>
      <c r="L21" s="69"/>
      <c r="M21" s="73"/>
      <c r="N21" s="75"/>
      <c r="O21" s="69"/>
    </row>
    <row r="22" spans="1:17" x14ac:dyDescent="0.25">
      <c r="A22" s="29" t="s">
        <v>16</v>
      </c>
      <c r="B22" s="25" t="s">
        <v>17</v>
      </c>
      <c r="C22" s="11"/>
      <c r="D22" s="82"/>
      <c r="E22" s="83"/>
      <c r="F22" s="73"/>
      <c r="G22" s="69"/>
      <c r="H22" s="69"/>
      <c r="I22" s="73"/>
      <c r="J22" s="73"/>
      <c r="K22" s="73"/>
      <c r="L22" s="69"/>
      <c r="M22" s="73"/>
      <c r="N22" s="73"/>
      <c r="O22" s="73"/>
    </row>
    <row r="23" spans="1:17" x14ac:dyDescent="0.25">
      <c r="A23" s="29" t="s">
        <v>61</v>
      </c>
      <c r="B23" s="25" t="s">
        <v>17</v>
      </c>
      <c r="C23" s="11"/>
      <c r="D23" s="84"/>
      <c r="E23" s="85"/>
      <c r="F23" s="73"/>
      <c r="G23" s="69"/>
      <c r="H23" s="69"/>
      <c r="I23" s="73"/>
      <c r="J23" s="73"/>
      <c r="K23" s="73"/>
      <c r="L23" s="69"/>
      <c r="M23" s="73"/>
      <c r="N23" s="73"/>
      <c r="O23" s="73"/>
    </row>
    <row r="24" spans="1:17" x14ac:dyDescent="0.25">
      <c r="A24" s="29" t="s">
        <v>28</v>
      </c>
      <c r="B24" s="25" t="s">
        <v>29</v>
      </c>
      <c r="C24" s="11"/>
      <c r="D24" s="82"/>
      <c r="E24" s="83"/>
      <c r="F24" s="73"/>
      <c r="G24" s="69"/>
      <c r="H24" s="69"/>
      <c r="I24" s="73"/>
      <c r="J24" s="73"/>
      <c r="K24" s="73"/>
      <c r="L24" s="69"/>
      <c r="M24" s="73"/>
      <c r="N24" s="73"/>
      <c r="O24" s="73"/>
    </row>
    <row r="25" spans="1:17" x14ac:dyDescent="0.25">
      <c r="A25" s="29" t="s">
        <v>31</v>
      </c>
      <c r="B25" s="25" t="s">
        <v>32</v>
      </c>
      <c r="C25" s="11"/>
      <c r="D25" s="82"/>
      <c r="E25" s="83"/>
      <c r="F25" s="73"/>
      <c r="G25" s="69"/>
      <c r="H25" s="69"/>
      <c r="I25" s="73"/>
      <c r="J25" s="73"/>
      <c r="K25" s="73"/>
      <c r="L25" s="69"/>
      <c r="M25" s="73"/>
      <c r="N25" s="73"/>
      <c r="O25" s="73"/>
    </row>
    <row r="26" spans="1:17" x14ac:dyDescent="0.25">
      <c r="A26" s="29" t="s">
        <v>33</v>
      </c>
      <c r="B26" s="25" t="s">
        <v>34</v>
      </c>
      <c r="C26" s="11"/>
      <c r="D26" s="82"/>
      <c r="E26" s="83"/>
      <c r="F26" s="73"/>
      <c r="G26" s="69"/>
      <c r="H26" s="69"/>
      <c r="I26" s="73"/>
      <c r="J26" s="73"/>
      <c r="K26" s="73"/>
      <c r="L26" s="69"/>
      <c r="M26" s="73"/>
      <c r="N26" s="73"/>
      <c r="O26" s="73"/>
    </row>
    <row r="27" spans="1:17" x14ac:dyDescent="0.25">
      <c r="A27" s="29" t="s">
        <v>35</v>
      </c>
      <c r="B27" s="25" t="s">
        <v>36</v>
      </c>
      <c r="C27" s="11"/>
      <c r="D27" s="82"/>
      <c r="E27" s="83"/>
      <c r="F27" s="73"/>
      <c r="G27" s="69"/>
      <c r="H27" s="69"/>
      <c r="I27" s="73"/>
      <c r="J27" s="73"/>
      <c r="K27" s="73"/>
      <c r="L27" s="69"/>
      <c r="M27" s="73"/>
      <c r="N27" s="73"/>
      <c r="O27" s="73"/>
    </row>
    <row r="28" spans="1:17" x14ac:dyDescent="0.25">
      <c r="A28" s="29" t="s">
        <v>37</v>
      </c>
      <c r="B28" s="25" t="s">
        <v>48</v>
      </c>
      <c r="C28" s="11"/>
      <c r="D28" s="82"/>
      <c r="E28" s="83"/>
      <c r="F28" s="73"/>
      <c r="G28" s="69"/>
      <c r="H28" s="69"/>
      <c r="I28" s="73"/>
      <c r="J28" s="73"/>
      <c r="K28" s="73"/>
      <c r="L28" s="69"/>
      <c r="M28" s="73"/>
      <c r="N28" s="73"/>
      <c r="O28" s="73"/>
    </row>
    <row r="29" spans="1:17" x14ac:dyDescent="0.25">
      <c r="A29" s="29" t="s">
        <v>38</v>
      </c>
      <c r="B29" s="25" t="s">
        <v>39</v>
      </c>
      <c r="C29" s="11"/>
      <c r="D29" s="82"/>
      <c r="E29" s="83"/>
      <c r="F29" s="73"/>
      <c r="G29" s="69"/>
      <c r="H29" s="69"/>
      <c r="I29" s="73"/>
      <c r="J29" s="73"/>
      <c r="K29" s="73"/>
      <c r="L29" s="69"/>
      <c r="M29" s="73"/>
      <c r="N29" s="73"/>
      <c r="O29" s="73"/>
      <c r="Q29" s="4"/>
    </row>
    <row r="30" spans="1:17" x14ac:dyDescent="0.25">
      <c r="A30" s="29" t="s">
        <v>40</v>
      </c>
      <c r="B30" s="25" t="s">
        <v>41</v>
      </c>
      <c r="C30" s="11"/>
      <c r="D30" s="82"/>
      <c r="E30" s="83"/>
      <c r="F30" s="73"/>
      <c r="G30" s="69"/>
      <c r="H30" s="69"/>
      <c r="I30" s="73"/>
      <c r="J30" s="73"/>
      <c r="K30" s="73"/>
      <c r="L30" s="69"/>
      <c r="M30" s="73"/>
      <c r="N30" s="73"/>
      <c r="O30" s="73"/>
      <c r="P30" s="4"/>
    </row>
    <row r="31" spans="1:17" x14ac:dyDescent="0.25">
      <c r="A31" s="29" t="s">
        <v>42</v>
      </c>
      <c r="B31" s="25" t="s">
        <v>43</v>
      </c>
      <c r="C31" s="11"/>
      <c r="D31" s="86"/>
      <c r="E31" s="51"/>
      <c r="F31" s="73"/>
      <c r="G31" s="69"/>
      <c r="H31" s="69"/>
      <c r="I31" s="73"/>
      <c r="J31" s="73"/>
      <c r="K31" s="73"/>
      <c r="L31" s="69"/>
      <c r="M31" s="73"/>
      <c r="N31" s="73"/>
      <c r="O31" s="73"/>
    </row>
    <row r="32" spans="1:17" x14ac:dyDescent="0.25">
      <c r="A32" s="29" t="s">
        <v>44</v>
      </c>
      <c r="B32" s="25" t="s">
        <v>45</v>
      </c>
      <c r="C32" s="11"/>
      <c r="D32" s="82"/>
      <c r="E32" s="83"/>
      <c r="F32" s="73"/>
      <c r="G32" s="69"/>
      <c r="H32" s="69"/>
      <c r="I32" s="73"/>
      <c r="J32" s="73"/>
      <c r="K32" s="73"/>
      <c r="L32" s="69"/>
      <c r="M32" s="73"/>
      <c r="N32" s="73"/>
      <c r="O32" s="73"/>
      <c r="P32" s="4"/>
    </row>
    <row r="33" spans="1:15" x14ac:dyDescent="0.25">
      <c r="A33" s="29" t="s">
        <v>46</v>
      </c>
      <c r="B33" s="25" t="s">
        <v>47</v>
      </c>
      <c r="C33" s="11"/>
      <c r="D33" s="82"/>
      <c r="E33" s="83"/>
      <c r="F33" s="74"/>
      <c r="G33" s="69"/>
      <c r="H33" s="69"/>
      <c r="I33" s="73"/>
      <c r="J33" s="74"/>
      <c r="K33" s="69"/>
      <c r="L33" s="69"/>
      <c r="M33" s="73"/>
      <c r="N33" s="74"/>
      <c r="O33" s="69"/>
    </row>
    <row r="34" spans="1:15" ht="13" thickBot="1" x14ac:dyDescent="0.3">
      <c r="A34" s="30" t="s">
        <v>18</v>
      </c>
      <c r="B34" s="26" t="s">
        <v>24</v>
      </c>
      <c r="C34" s="11"/>
      <c r="D34" s="88"/>
      <c r="E34" s="89"/>
      <c r="F34" s="76"/>
      <c r="G34" s="76"/>
      <c r="H34" s="76"/>
      <c r="I34" s="76"/>
      <c r="J34" s="76"/>
      <c r="K34" s="76"/>
      <c r="L34" s="76"/>
      <c r="M34" s="76"/>
      <c r="N34" s="76"/>
      <c r="O34" s="76"/>
    </row>
    <row r="35" spans="1:15" ht="13" thickBot="1" x14ac:dyDescent="0.3">
      <c r="A35" s="6"/>
      <c r="B35" s="6"/>
      <c r="C35" s="6"/>
      <c r="D35" s="90"/>
      <c r="E35" s="91"/>
      <c r="F35" s="78"/>
      <c r="G35" s="77"/>
      <c r="H35" s="77"/>
      <c r="I35" s="78"/>
      <c r="J35" s="78"/>
      <c r="K35" s="77"/>
      <c r="L35" s="77"/>
      <c r="M35" s="78"/>
      <c r="N35" s="78"/>
      <c r="O35" s="77"/>
    </row>
    <row r="36" spans="1:15" ht="15.5" thickBot="1" x14ac:dyDescent="0.3">
      <c r="A36" s="6"/>
      <c r="B36" s="13" t="s">
        <v>74</v>
      </c>
      <c r="C36" s="9"/>
      <c r="D36" s="39">
        <f>SUM(D9:D34)</f>
        <v>9378</v>
      </c>
      <c r="E36" s="79"/>
      <c r="F36" s="6"/>
      <c r="G36" s="6"/>
      <c r="H36" s="6"/>
      <c r="I36" s="6"/>
      <c r="J36" s="6"/>
      <c r="K36" s="6"/>
      <c r="L36" s="6"/>
      <c r="M36" s="6"/>
      <c r="N36" s="6"/>
      <c r="O36" s="6"/>
    </row>
    <row r="37" spans="1:15" x14ac:dyDescent="0.25">
      <c r="A37" s="6"/>
      <c r="B37" s="6"/>
      <c r="C37" s="6"/>
      <c r="D37" s="6"/>
      <c r="E37" s="6"/>
      <c r="F37" s="6"/>
      <c r="G37" s="6"/>
      <c r="H37" s="6"/>
      <c r="I37" s="6"/>
      <c r="J37" s="6"/>
      <c r="K37" s="6"/>
      <c r="L37" s="6"/>
      <c r="M37" s="6"/>
      <c r="N37" s="6"/>
      <c r="O37" s="6"/>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c r="E40" s="6"/>
      <c r="F40" s="6"/>
      <c r="G40" s="6"/>
      <c r="H40" s="6"/>
      <c r="I40" s="6"/>
      <c r="J40" s="6"/>
      <c r="K40" s="6"/>
      <c r="L40" s="6"/>
      <c r="M40" s="6"/>
      <c r="N40" s="6"/>
      <c r="O40" s="6"/>
    </row>
    <row r="41" spans="1:15" x14ac:dyDescent="0.25">
      <c r="A41" s="6"/>
      <c r="B41" s="6"/>
      <c r="C41" s="6"/>
      <c r="D41" s="6" t="s">
        <v>49</v>
      </c>
      <c r="E41" s="6"/>
      <c r="F41" s="6"/>
      <c r="G41" s="6"/>
      <c r="H41" s="6"/>
      <c r="I41" s="6"/>
      <c r="J41" s="6"/>
      <c r="K41" s="6"/>
      <c r="L41" s="6"/>
      <c r="M41" s="6"/>
      <c r="N41" s="6"/>
      <c r="O41" s="6"/>
    </row>
    <row r="42" spans="1:15" x14ac:dyDescent="0.25">
      <c r="A42" s="6"/>
      <c r="B42" s="6"/>
      <c r="C42" s="6"/>
      <c r="D42" s="6"/>
      <c r="E42" s="9"/>
      <c r="F42" s="9"/>
      <c r="G42" s="9"/>
      <c r="H42" s="6"/>
      <c r="I42" s="6"/>
      <c r="J42" s="6"/>
      <c r="K42" s="6"/>
      <c r="L42" s="6"/>
      <c r="M42" s="6"/>
      <c r="N42" s="6"/>
      <c r="O42" s="6"/>
    </row>
    <row r="43" spans="1:15" x14ac:dyDescent="0.25">
      <c r="A43" s="6"/>
      <c r="B43" s="6"/>
      <c r="C43" s="6"/>
      <c r="D43" s="14"/>
      <c r="E43" s="6" t="s">
        <v>66</v>
      </c>
      <c r="F43" s="6"/>
      <c r="G43" s="6"/>
      <c r="H43" s="6"/>
      <c r="I43" s="6"/>
      <c r="J43" s="6"/>
      <c r="K43" s="6"/>
      <c r="L43" s="6"/>
      <c r="M43" s="6"/>
      <c r="N43" s="6"/>
      <c r="O43" s="6"/>
    </row>
    <row r="44" spans="1:15" x14ac:dyDescent="0.25">
      <c r="A44" s="6"/>
      <c r="B44" s="6"/>
      <c r="C44" s="6"/>
      <c r="D44" s="6"/>
      <c r="E44" s="114" t="s">
        <v>76</v>
      </c>
      <c r="F44" s="114"/>
      <c r="G44" s="114"/>
      <c r="H44" s="114"/>
      <c r="I44" s="114"/>
      <c r="J44" s="114"/>
      <c r="K44" s="114"/>
      <c r="L44" s="114"/>
      <c r="M44" s="15"/>
      <c r="N44" s="15"/>
      <c r="O44" s="15"/>
    </row>
    <row r="45" spans="1:15" x14ac:dyDescent="0.25">
      <c r="A45" s="6"/>
      <c r="B45" s="6"/>
      <c r="C45" s="6"/>
      <c r="D45" s="6"/>
      <c r="E45" s="6"/>
      <c r="F45" s="6"/>
      <c r="G45" s="6"/>
      <c r="H45" s="6"/>
      <c r="I45" s="6"/>
      <c r="J45" s="6"/>
      <c r="K45" s="6"/>
      <c r="L45" s="6"/>
      <c r="M45" s="6"/>
      <c r="N45" s="6"/>
      <c r="O45" s="6"/>
    </row>
    <row r="46" spans="1:15" x14ac:dyDescent="0.25">
      <c r="A46" s="6"/>
      <c r="B46" s="6"/>
      <c r="C46" s="6"/>
      <c r="D46" s="6"/>
      <c r="E46" s="6" t="s">
        <v>77</v>
      </c>
      <c r="F46" s="6"/>
      <c r="G46" s="6"/>
      <c r="H46" s="6"/>
      <c r="I46" s="7"/>
      <c r="J46" s="7"/>
      <c r="K46" s="7"/>
      <c r="L46" s="6"/>
      <c r="M46" s="6"/>
      <c r="N46" s="6"/>
      <c r="O46" s="6"/>
    </row>
    <row r="47" spans="1:15" x14ac:dyDescent="0.25">
      <c r="A47" s="6"/>
      <c r="B47" s="6"/>
      <c r="C47" s="6"/>
      <c r="D47" s="6"/>
      <c r="E47" s="16"/>
      <c r="F47" s="16"/>
      <c r="G47" s="16"/>
      <c r="H47" s="6"/>
      <c r="I47" s="6"/>
      <c r="J47" s="6"/>
      <c r="K47" s="6"/>
      <c r="L47" s="6"/>
      <c r="M47" s="6"/>
      <c r="N47" s="6"/>
      <c r="O47" s="6"/>
    </row>
    <row r="48" spans="1:15" x14ac:dyDescent="0.25">
      <c r="A48" s="6"/>
      <c r="B48" s="6"/>
      <c r="C48" s="6"/>
      <c r="D48" s="6"/>
      <c r="E48" s="16"/>
      <c r="F48" s="16"/>
      <c r="G48" s="16"/>
      <c r="H48" s="6"/>
      <c r="I48" s="6"/>
      <c r="J48" s="6"/>
      <c r="K48" s="6"/>
      <c r="L48" s="6"/>
      <c r="M48" s="6"/>
      <c r="N48" s="6"/>
      <c r="O48" s="6"/>
    </row>
    <row r="49" spans="1:15" x14ac:dyDescent="0.25">
      <c r="A49" s="6"/>
      <c r="B49" s="6"/>
      <c r="C49" s="6"/>
      <c r="D49" s="6"/>
      <c r="E49" s="16"/>
      <c r="F49" s="16"/>
      <c r="G49" s="16"/>
      <c r="H49" s="6"/>
      <c r="I49" s="6"/>
      <c r="J49" s="6"/>
      <c r="K49" s="6"/>
      <c r="L49" s="6"/>
      <c r="M49" s="6"/>
      <c r="N49" s="6"/>
      <c r="O49" s="6"/>
    </row>
    <row r="50" spans="1:15" x14ac:dyDescent="0.25">
      <c r="A50" s="6"/>
      <c r="B50" s="6"/>
      <c r="C50" s="6"/>
      <c r="D50" s="6"/>
      <c r="E50" s="16"/>
      <c r="F50" s="16"/>
      <c r="G50" s="16"/>
      <c r="H50" s="6"/>
      <c r="I50" s="6"/>
      <c r="J50" s="6"/>
      <c r="K50" s="6"/>
      <c r="L50" s="6"/>
      <c r="M50" s="6"/>
      <c r="N50" s="6"/>
      <c r="O50" s="6"/>
    </row>
    <row r="51" spans="1:15" x14ac:dyDescent="0.25">
      <c r="A51" s="6"/>
      <c r="B51" s="6"/>
      <c r="C51" s="6"/>
      <c r="D51" s="6"/>
      <c r="E51" s="16"/>
      <c r="F51" s="16"/>
      <c r="G51" s="16"/>
      <c r="H51" s="6"/>
      <c r="I51" s="6"/>
      <c r="J51" s="6"/>
      <c r="K51" s="6"/>
      <c r="L51" s="6"/>
      <c r="M51" s="6"/>
      <c r="N51" s="6"/>
      <c r="O51" s="6"/>
    </row>
    <row r="52" spans="1:15" x14ac:dyDescent="0.25">
      <c r="A52" s="6"/>
      <c r="B52" s="6"/>
      <c r="C52" s="6"/>
      <c r="D52" s="6"/>
      <c r="E52" s="6"/>
      <c r="F52" s="6"/>
      <c r="G52" s="6"/>
      <c r="H52" s="6"/>
      <c r="I52" s="6"/>
      <c r="J52" s="6"/>
      <c r="K52" s="6"/>
      <c r="L52" s="6"/>
      <c r="M52" s="6"/>
      <c r="N52" s="6"/>
      <c r="O52" s="6"/>
    </row>
    <row r="53" spans="1:15" x14ac:dyDescent="0.25">
      <c r="A53" s="6"/>
      <c r="B53" s="6"/>
      <c r="C53" s="6"/>
      <c r="D53" s="6"/>
      <c r="H53" s="6"/>
      <c r="I53" s="6"/>
      <c r="J53" s="6"/>
      <c r="K53" s="6"/>
      <c r="L53" s="6"/>
      <c r="M53" s="6"/>
      <c r="N53" s="6"/>
      <c r="O53" s="6"/>
    </row>
    <row r="54" spans="1:15" x14ac:dyDescent="0.25">
      <c r="A54" s="6"/>
      <c r="B54" s="6"/>
      <c r="C54" s="6"/>
      <c r="D54" s="6"/>
      <c r="E54" s="6"/>
      <c r="F54" s="6"/>
      <c r="G54" s="6"/>
      <c r="H54" s="6"/>
      <c r="I54" s="6"/>
      <c r="J54" s="6"/>
      <c r="K54" s="6"/>
      <c r="L54" s="6"/>
      <c r="M54" s="6"/>
      <c r="N54" s="6"/>
      <c r="O54" s="6"/>
    </row>
  </sheetData>
  <sheetProtection selectLockedCells="1"/>
  <dataValidations count="1">
    <dataValidation type="list" allowBlank="1" showInputMessage="1" showErrorMessage="1" sqref="F20:F21 F17:F18 N33 J8:J15 J17:J18 J20:J21 N20:N21 N17 F8:F15 F33 J33 N8:N15" xr:uid="{00000000-0002-0000-0500-000000000000}">
      <formula1>$D$38:$D$39</formula1>
    </dataValidation>
  </dataValidations>
  <pageMargins left="0.39" right="0.37" top="0.52" bottom="0.49" header="0.5" footer="0.5"/>
  <pageSetup paperSize="9" scale="58" orientation="landscape" r:id="rId1"/>
  <headerFooter alignWithMargins="0">
    <oddHeader>&amp;C&amp;"Calibri"&amp;12&amp;KC00000 OFFICIAL&amp;1#_x000D_</oddHeader>
    <oddFooter>&amp;C_x000D_&amp;1#&amp;"Calibri"&amp;12&amp;KC00000 OFFICIAL</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54"/>
  <sheetViews>
    <sheetView zoomScale="80" zoomScaleNormal="80" workbookViewId="0">
      <selection activeCell="D14" sqref="D14"/>
    </sheetView>
  </sheetViews>
  <sheetFormatPr defaultRowHeight="12.5" x14ac:dyDescent="0.25"/>
  <cols>
    <col min="1" max="1" width="8" customWidth="1"/>
    <col min="2" max="2" width="31.26953125" bestFit="1" customWidth="1"/>
    <col min="3" max="3" width="6.54296875" customWidth="1"/>
    <col min="4" max="4" width="16.7265625" customWidth="1"/>
    <col min="5" max="5" width="24" customWidth="1"/>
    <col min="6" max="6" width="29.453125" customWidth="1"/>
    <col min="7" max="7" width="46.54296875" customWidth="1"/>
    <col min="8" max="8" width="15.453125" customWidth="1"/>
    <col min="9" max="9" width="26.1796875" customWidth="1"/>
    <col min="10" max="10" width="9.26953125" customWidth="1"/>
    <col min="11" max="11" width="12" customWidth="1"/>
    <col min="12" max="12" width="13" customWidth="1"/>
    <col min="13" max="13" width="5.54296875" customWidth="1"/>
    <col min="14" max="14" width="20.453125" customWidth="1"/>
    <col min="15" max="15" width="0.1796875" customWidth="1"/>
  </cols>
  <sheetData>
    <row r="1" spans="1:16" x14ac:dyDescent="0.25">
      <c r="D1" s="21"/>
    </row>
    <row r="2" spans="1:16" x14ac:dyDescent="0.25">
      <c r="L2" s="5"/>
    </row>
    <row r="3" spans="1:16" x14ac:dyDescent="0.25">
      <c r="E3" s="1"/>
      <c r="F3" s="1"/>
      <c r="G3" s="1"/>
      <c r="L3" s="5"/>
    </row>
    <row r="4" spans="1:16" x14ac:dyDescent="0.25">
      <c r="A4" s="6"/>
      <c r="B4" s="19" t="s">
        <v>27</v>
      </c>
      <c r="C4" s="19"/>
      <c r="D4" s="20">
        <v>521</v>
      </c>
      <c r="E4" s="8"/>
      <c r="F4" s="8"/>
      <c r="G4" s="8"/>
      <c r="H4" s="6"/>
      <c r="I4" s="6"/>
      <c r="J4" s="6"/>
      <c r="K4" s="6"/>
      <c r="L4" s="6"/>
      <c r="M4" s="6"/>
      <c r="N4" s="6"/>
      <c r="O4" s="6"/>
    </row>
    <row r="5" spans="1:16" ht="13" thickBot="1" x14ac:dyDescent="0.3">
      <c r="A5" s="6"/>
      <c r="B5" s="6"/>
      <c r="C5" s="9"/>
      <c r="D5" s="62"/>
      <c r="E5" s="62"/>
      <c r="F5" s="9"/>
      <c r="G5" s="9"/>
      <c r="H5" s="9"/>
      <c r="I5" s="9"/>
      <c r="J5" s="9"/>
      <c r="K5" s="9"/>
      <c r="L5" s="9"/>
      <c r="M5" s="9"/>
      <c r="N5" s="9"/>
      <c r="O5" s="9"/>
    </row>
    <row r="6" spans="1:16" s="3" customFormat="1" ht="35.5" thickBot="1" x14ac:dyDescent="0.4">
      <c r="A6" s="23" t="s">
        <v>83</v>
      </c>
      <c r="B6" s="22" t="s">
        <v>82</v>
      </c>
      <c r="C6" s="10"/>
      <c r="D6" s="125" t="s">
        <v>125</v>
      </c>
      <c r="E6" s="81"/>
      <c r="F6" s="66"/>
      <c r="G6" s="66"/>
      <c r="H6" s="66"/>
      <c r="I6" s="66"/>
      <c r="J6" s="66"/>
      <c r="K6" s="66"/>
      <c r="L6" s="66"/>
      <c r="M6" s="66"/>
      <c r="N6" s="66"/>
      <c r="O6" s="66"/>
    </row>
    <row r="7" spans="1:16" ht="13.5" customHeight="1" thickBot="1" x14ac:dyDescent="0.3">
      <c r="A7" s="6"/>
      <c r="B7" s="6"/>
      <c r="C7" s="9"/>
      <c r="D7" s="67"/>
      <c r="E7" s="67"/>
      <c r="F7" s="68"/>
      <c r="G7" s="68"/>
      <c r="H7" s="67"/>
      <c r="I7" s="67"/>
      <c r="J7" s="68"/>
      <c r="K7" s="68"/>
      <c r="L7" s="67"/>
      <c r="M7" s="67"/>
      <c r="N7" s="68"/>
      <c r="O7" s="68"/>
    </row>
    <row r="8" spans="1:16" ht="13" thickBot="1" x14ac:dyDescent="0.3">
      <c r="D8" s="102" t="s">
        <v>25</v>
      </c>
      <c r="E8" s="100" t="s">
        <v>26</v>
      </c>
      <c r="F8" s="64"/>
      <c r="G8" s="69"/>
      <c r="H8" s="69"/>
      <c r="I8" s="64"/>
      <c r="J8" s="70"/>
      <c r="K8" s="69"/>
      <c r="L8" s="69"/>
      <c r="M8" s="64"/>
      <c r="N8" s="70"/>
      <c r="O8" s="69"/>
      <c r="P8" s="63"/>
    </row>
    <row r="9" spans="1:16" x14ac:dyDescent="0.25">
      <c r="A9" s="27" t="s">
        <v>3</v>
      </c>
      <c r="B9" s="24" t="s">
        <v>79</v>
      </c>
      <c r="C9" s="11"/>
      <c r="D9" s="80">
        <f>ROUND(763*(1.0240175),0)</f>
        <v>781</v>
      </c>
      <c r="E9" s="96"/>
      <c r="F9" s="72"/>
      <c r="G9" s="71"/>
      <c r="H9" s="71"/>
      <c r="I9" s="72"/>
      <c r="J9" s="70"/>
      <c r="K9" s="69"/>
      <c r="L9" s="71"/>
      <c r="M9" s="72"/>
      <c r="N9" s="70"/>
      <c r="O9" s="69"/>
    </row>
    <row r="10" spans="1:16" x14ac:dyDescent="0.25">
      <c r="A10" s="28" t="s">
        <v>4</v>
      </c>
      <c r="B10" s="111" t="s">
        <v>80</v>
      </c>
      <c r="C10" s="115"/>
      <c r="D10" s="116">
        <f>ROUND(E10*$D$4,0)</f>
        <v>5210</v>
      </c>
      <c r="E10" s="117">
        <v>10</v>
      </c>
      <c r="F10" s="72"/>
      <c r="G10" s="71"/>
      <c r="H10" s="71"/>
      <c r="I10" s="72"/>
      <c r="J10" s="70"/>
      <c r="K10" s="69"/>
      <c r="L10" s="71"/>
      <c r="M10" s="72"/>
      <c r="N10" s="70"/>
      <c r="O10" s="69"/>
    </row>
    <row r="11" spans="1:16" x14ac:dyDescent="0.25">
      <c r="A11" s="28" t="s">
        <v>5</v>
      </c>
      <c r="B11" s="111" t="s">
        <v>81</v>
      </c>
      <c r="C11" s="115"/>
      <c r="D11" s="120"/>
      <c r="E11" s="121"/>
      <c r="F11" s="72"/>
      <c r="G11" s="71"/>
      <c r="H11" s="71"/>
      <c r="I11" s="72"/>
      <c r="J11" s="70"/>
      <c r="K11" s="69"/>
      <c r="L11" s="71"/>
      <c r="M11" s="72"/>
      <c r="N11" s="70"/>
      <c r="O11" s="69"/>
    </row>
    <row r="12" spans="1:16" x14ac:dyDescent="0.25">
      <c r="A12" s="28" t="s">
        <v>19</v>
      </c>
      <c r="B12" s="111" t="s">
        <v>20</v>
      </c>
      <c r="C12" s="115"/>
      <c r="D12" s="120"/>
      <c r="E12" s="121"/>
      <c r="F12" s="72"/>
      <c r="G12" s="71"/>
      <c r="H12" s="71"/>
      <c r="I12" s="72"/>
      <c r="J12" s="70"/>
      <c r="K12" s="69"/>
      <c r="L12" s="71"/>
      <c r="M12" s="72"/>
      <c r="N12" s="70"/>
      <c r="O12" s="69"/>
    </row>
    <row r="13" spans="1:16" x14ac:dyDescent="0.25">
      <c r="A13" s="28" t="s">
        <v>21</v>
      </c>
      <c r="B13" s="111" t="s">
        <v>78</v>
      </c>
      <c r="C13" s="115"/>
      <c r="D13" s="116">
        <f>ROUND(E13*$D$4,0)</f>
        <v>1303</v>
      </c>
      <c r="E13" s="117">
        <v>2.5</v>
      </c>
      <c r="F13" s="72"/>
      <c r="G13" s="71"/>
      <c r="H13" s="71"/>
      <c r="I13" s="72"/>
      <c r="J13" s="70"/>
      <c r="K13" s="69"/>
      <c r="L13" s="71"/>
      <c r="M13" s="72"/>
      <c r="N13" s="70"/>
      <c r="O13" s="69"/>
    </row>
    <row r="14" spans="1:16" x14ac:dyDescent="0.25">
      <c r="A14" s="28" t="s">
        <v>22</v>
      </c>
      <c r="B14" s="111" t="s">
        <v>23</v>
      </c>
      <c r="C14" s="115"/>
      <c r="D14" s="118">
        <f>ROUND(E14*$D$4,0)</f>
        <v>1824</v>
      </c>
      <c r="E14" s="119">
        <v>3.5</v>
      </c>
      <c r="F14" s="74"/>
      <c r="G14" s="69"/>
      <c r="H14" s="69"/>
      <c r="I14" s="73"/>
      <c r="J14" s="75"/>
      <c r="K14" s="69"/>
      <c r="L14" s="69"/>
      <c r="M14" s="73"/>
      <c r="N14" s="75"/>
      <c r="O14" s="69"/>
    </row>
    <row r="15" spans="1:16" x14ac:dyDescent="0.25">
      <c r="A15" s="29" t="s">
        <v>6</v>
      </c>
      <c r="B15" s="25" t="s">
        <v>7</v>
      </c>
      <c r="C15" s="11"/>
      <c r="D15" s="82"/>
      <c r="E15" s="83"/>
      <c r="F15" s="65"/>
      <c r="G15" s="69"/>
      <c r="H15" s="69"/>
      <c r="I15" s="73"/>
      <c r="J15" s="75"/>
      <c r="K15" s="69"/>
      <c r="L15" s="69"/>
      <c r="M15" s="73"/>
      <c r="N15" s="75"/>
      <c r="O15" s="69"/>
    </row>
    <row r="16" spans="1:16" x14ac:dyDescent="0.25">
      <c r="A16" s="29" t="s">
        <v>8</v>
      </c>
      <c r="B16" s="25" t="s">
        <v>9</v>
      </c>
      <c r="C16" s="11"/>
      <c r="D16" s="82"/>
      <c r="E16" s="83"/>
      <c r="F16" s="73"/>
      <c r="G16" s="69"/>
      <c r="H16" s="69"/>
      <c r="I16" s="73"/>
      <c r="J16" s="73"/>
      <c r="K16" s="73"/>
      <c r="L16" s="69"/>
      <c r="M16" s="73"/>
      <c r="N16" s="73"/>
      <c r="O16" s="73"/>
    </row>
    <row r="17" spans="1:17" x14ac:dyDescent="0.25">
      <c r="A17" s="29" t="s">
        <v>67</v>
      </c>
      <c r="B17" s="25" t="s">
        <v>68</v>
      </c>
      <c r="C17" s="11"/>
      <c r="D17" s="82"/>
      <c r="E17" s="83"/>
      <c r="F17" s="65"/>
      <c r="G17" s="69"/>
      <c r="H17" s="69"/>
      <c r="I17" s="73"/>
      <c r="J17" s="75"/>
      <c r="K17" s="69"/>
      <c r="L17" s="69"/>
      <c r="M17" s="73"/>
      <c r="N17" s="75"/>
      <c r="O17" s="69"/>
    </row>
    <row r="18" spans="1:17" x14ac:dyDescent="0.25">
      <c r="A18" s="29" t="s">
        <v>10</v>
      </c>
      <c r="B18" s="25" t="s">
        <v>11</v>
      </c>
      <c r="C18" s="11"/>
      <c r="D18" s="82"/>
      <c r="E18" s="83"/>
      <c r="F18" s="65"/>
      <c r="G18" s="69"/>
      <c r="H18" s="69"/>
      <c r="I18" s="73"/>
      <c r="J18" s="75"/>
      <c r="K18" s="69"/>
      <c r="L18" s="69"/>
      <c r="M18" s="73"/>
      <c r="N18" s="69"/>
      <c r="O18" s="4"/>
    </row>
    <row r="19" spans="1:17" x14ac:dyDescent="0.25">
      <c r="A19" s="29" t="s">
        <v>12</v>
      </c>
      <c r="B19" s="25" t="s">
        <v>13</v>
      </c>
      <c r="C19" s="11"/>
      <c r="D19" s="82"/>
      <c r="E19" s="83"/>
      <c r="F19" s="73"/>
      <c r="G19" s="69"/>
      <c r="H19" s="69"/>
      <c r="I19" s="73"/>
      <c r="J19" s="73"/>
      <c r="K19" s="73"/>
      <c r="L19" s="69"/>
      <c r="M19" s="73"/>
      <c r="N19" s="73"/>
      <c r="O19" s="73"/>
    </row>
    <row r="20" spans="1:17" x14ac:dyDescent="0.25">
      <c r="A20" s="29" t="s">
        <v>69</v>
      </c>
      <c r="B20" s="25" t="s">
        <v>70</v>
      </c>
      <c r="C20" s="11"/>
      <c r="D20" s="82"/>
      <c r="E20" s="83"/>
      <c r="F20" s="65"/>
      <c r="G20" s="69"/>
      <c r="H20" s="69"/>
      <c r="I20" s="73"/>
      <c r="J20" s="75"/>
      <c r="K20" s="69"/>
      <c r="L20" s="69"/>
      <c r="M20" s="73"/>
      <c r="N20" s="75"/>
      <c r="O20" s="69"/>
    </row>
    <row r="21" spans="1:17" x14ac:dyDescent="0.25">
      <c r="A21" s="29" t="s">
        <v>14</v>
      </c>
      <c r="B21" s="25" t="s">
        <v>15</v>
      </c>
      <c r="C21" s="11"/>
      <c r="D21" s="82"/>
      <c r="E21" s="83"/>
      <c r="F21" s="65"/>
      <c r="G21" s="69"/>
      <c r="H21" s="69"/>
      <c r="I21" s="73"/>
      <c r="J21" s="75"/>
      <c r="K21" s="69"/>
      <c r="L21" s="69"/>
      <c r="M21" s="73"/>
      <c r="N21" s="75"/>
      <c r="O21" s="69"/>
    </row>
    <row r="22" spans="1:17" x14ac:dyDescent="0.25">
      <c r="A22" s="29" t="s">
        <v>16</v>
      </c>
      <c r="B22" s="25" t="s">
        <v>17</v>
      </c>
      <c r="C22" s="11"/>
      <c r="D22" s="82"/>
      <c r="E22" s="83"/>
      <c r="F22" s="73"/>
      <c r="G22" s="69"/>
      <c r="H22" s="69"/>
      <c r="I22" s="73"/>
      <c r="J22" s="73"/>
      <c r="K22" s="73"/>
      <c r="L22" s="69"/>
      <c r="M22" s="73"/>
      <c r="N22" s="73"/>
      <c r="O22" s="73"/>
    </row>
    <row r="23" spans="1:17" x14ac:dyDescent="0.25">
      <c r="A23" s="29" t="s">
        <v>61</v>
      </c>
      <c r="B23" s="25" t="s">
        <v>17</v>
      </c>
      <c r="C23" s="11"/>
      <c r="D23" s="92"/>
      <c r="E23" s="85"/>
      <c r="F23" s="73"/>
      <c r="G23" s="69"/>
      <c r="H23" s="69"/>
      <c r="I23" s="73"/>
      <c r="J23" s="73"/>
      <c r="K23" s="73"/>
      <c r="L23" s="69"/>
      <c r="M23" s="73"/>
      <c r="N23" s="73"/>
      <c r="O23" s="73"/>
    </row>
    <row r="24" spans="1:17" x14ac:dyDescent="0.25">
      <c r="A24" s="29" t="s">
        <v>28</v>
      </c>
      <c r="B24" s="25" t="s">
        <v>29</v>
      </c>
      <c r="C24" s="11"/>
      <c r="D24" s="82"/>
      <c r="E24" s="83"/>
      <c r="F24" s="73"/>
      <c r="G24" s="69"/>
      <c r="H24" s="69"/>
      <c r="I24" s="73"/>
      <c r="J24" s="73"/>
      <c r="K24" s="73"/>
      <c r="L24" s="69"/>
      <c r="M24" s="73"/>
      <c r="N24" s="73"/>
      <c r="O24" s="73"/>
    </row>
    <row r="25" spans="1:17" x14ac:dyDescent="0.25">
      <c r="A25" s="29" t="s">
        <v>31</v>
      </c>
      <c r="B25" s="25" t="s">
        <v>32</v>
      </c>
      <c r="C25" s="11"/>
      <c r="D25" s="82"/>
      <c r="E25" s="83"/>
      <c r="F25" s="73"/>
      <c r="G25" s="69"/>
      <c r="H25" s="69"/>
      <c r="I25" s="73"/>
      <c r="J25" s="73"/>
      <c r="K25" s="73"/>
      <c r="L25" s="69"/>
      <c r="M25" s="73"/>
      <c r="N25" s="73"/>
      <c r="O25" s="73"/>
    </row>
    <row r="26" spans="1:17" x14ac:dyDescent="0.25">
      <c r="A26" s="29" t="s">
        <v>33</v>
      </c>
      <c r="B26" s="25" t="s">
        <v>34</v>
      </c>
      <c r="C26" s="11"/>
      <c r="D26" s="82"/>
      <c r="E26" s="83"/>
      <c r="F26" s="73"/>
      <c r="G26" s="69"/>
      <c r="H26" s="69"/>
      <c r="I26" s="73"/>
      <c r="J26" s="73"/>
      <c r="K26" s="73"/>
      <c r="L26" s="69"/>
      <c r="M26" s="73"/>
      <c r="N26" s="73"/>
      <c r="O26" s="73"/>
    </row>
    <row r="27" spans="1:17" x14ac:dyDescent="0.25">
      <c r="A27" s="29" t="s">
        <v>35</v>
      </c>
      <c r="B27" s="25" t="s">
        <v>36</v>
      </c>
      <c r="C27" s="11"/>
      <c r="D27" s="82"/>
      <c r="E27" s="83"/>
      <c r="F27" s="73"/>
      <c r="G27" s="69"/>
      <c r="H27" s="69"/>
      <c r="I27" s="73"/>
      <c r="J27" s="73"/>
      <c r="K27" s="73"/>
      <c r="L27" s="69"/>
      <c r="M27" s="73"/>
      <c r="N27" s="73"/>
      <c r="O27" s="73"/>
    </row>
    <row r="28" spans="1:17" x14ac:dyDescent="0.25">
      <c r="A28" s="29" t="s">
        <v>37</v>
      </c>
      <c r="B28" s="25" t="s">
        <v>48</v>
      </c>
      <c r="C28" s="11"/>
      <c r="D28" s="82"/>
      <c r="E28" s="83"/>
      <c r="F28" s="73"/>
      <c r="G28" s="69"/>
      <c r="H28" s="69"/>
      <c r="I28" s="73"/>
      <c r="J28" s="73"/>
      <c r="K28" s="73"/>
      <c r="L28" s="69"/>
      <c r="M28" s="73"/>
      <c r="N28" s="73"/>
      <c r="O28" s="73"/>
    </row>
    <row r="29" spans="1:17" x14ac:dyDescent="0.25">
      <c r="A29" s="29" t="s">
        <v>38</v>
      </c>
      <c r="B29" s="25" t="s">
        <v>39</v>
      </c>
      <c r="C29" s="11"/>
      <c r="D29" s="82"/>
      <c r="E29" s="83"/>
      <c r="F29" s="73"/>
      <c r="G29" s="69"/>
      <c r="H29" s="69"/>
      <c r="I29" s="73"/>
      <c r="J29" s="73"/>
      <c r="K29" s="73"/>
      <c r="L29" s="69"/>
      <c r="M29" s="73"/>
      <c r="N29" s="73"/>
      <c r="O29" s="73"/>
      <c r="Q29" s="4"/>
    </row>
    <row r="30" spans="1:17" x14ac:dyDescent="0.25">
      <c r="A30" s="29" t="s">
        <v>40</v>
      </c>
      <c r="B30" s="25" t="s">
        <v>41</v>
      </c>
      <c r="C30" s="11"/>
      <c r="D30" s="82"/>
      <c r="E30" s="83"/>
      <c r="F30" s="73"/>
      <c r="G30" s="69"/>
      <c r="H30" s="69"/>
      <c r="I30" s="73"/>
      <c r="J30" s="73"/>
      <c r="K30" s="73"/>
      <c r="L30" s="69"/>
      <c r="M30" s="73"/>
      <c r="N30" s="73"/>
      <c r="O30" s="73"/>
      <c r="P30" s="4"/>
    </row>
    <row r="31" spans="1:17" x14ac:dyDescent="0.25">
      <c r="A31" s="29" t="s">
        <v>42</v>
      </c>
      <c r="B31" s="25" t="s">
        <v>43</v>
      </c>
      <c r="C31" s="11"/>
      <c r="D31" s="86"/>
      <c r="E31" s="51"/>
      <c r="F31" s="73"/>
      <c r="G31" s="69"/>
      <c r="H31" s="69"/>
      <c r="I31" s="73"/>
      <c r="J31" s="73"/>
      <c r="K31" s="73"/>
      <c r="L31" s="69"/>
      <c r="M31" s="73"/>
      <c r="N31" s="73"/>
      <c r="O31" s="73"/>
    </row>
    <row r="32" spans="1:17" x14ac:dyDescent="0.25">
      <c r="A32" s="29" t="s">
        <v>44</v>
      </c>
      <c r="B32" s="25" t="s">
        <v>45</v>
      </c>
      <c r="C32" s="11"/>
      <c r="D32" s="82"/>
      <c r="E32" s="83"/>
      <c r="F32" s="73"/>
      <c r="G32" s="69"/>
      <c r="H32" s="69"/>
      <c r="I32" s="73"/>
      <c r="J32" s="73"/>
      <c r="K32" s="73"/>
      <c r="L32" s="69"/>
      <c r="M32" s="73"/>
      <c r="N32" s="73"/>
      <c r="O32" s="73"/>
      <c r="P32" s="4"/>
    </row>
    <row r="33" spans="1:15" x14ac:dyDescent="0.25">
      <c r="A33" s="29" t="s">
        <v>46</v>
      </c>
      <c r="B33" s="25" t="s">
        <v>47</v>
      </c>
      <c r="C33" s="11"/>
      <c r="D33" s="82"/>
      <c r="E33" s="83"/>
      <c r="F33" s="74"/>
      <c r="G33" s="69"/>
      <c r="H33" s="69"/>
      <c r="I33" s="73"/>
      <c r="J33" s="74"/>
      <c r="K33" s="69"/>
      <c r="L33" s="69"/>
      <c r="M33" s="73"/>
      <c r="N33" s="74"/>
      <c r="O33" s="69"/>
    </row>
    <row r="34" spans="1:15" ht="13" thickBot="1" x14ac:dyDescent="0.3">
      <c r="A34" s="30" t="s">
        <v>18</v>
      </c>
      <c r="B34" s="26" t="s">
        <v>24</v>
      </c>
      <c r="C34" s="11"/>
      <c r="D34" s="88"/>
      <c r="E34" s="89"/>
      <c r="F34" s="76"/>
      <c r="G34" s="76"/>
      <c r="H34" s="76"/>
      <c r="I34" s="76"/>
      <c r="J34" s="76"/>
      <c r="K34" s="76"/>
      <c r="L34" s="76"/>
      <c r="M34" s="76"/>
      <c r="N34" s="76"/>
      <c r="O34" s="76"/>
    </row>
    <row r="35" spans="1:15" ht="13" thickBot="1" x14ac:dyDescent="0.3">
      <c r="A35" s="6"/>
      <c r="B35" s="6"/>
      <c r="C35" s="6"/>
      <c r="D35" s="90"/>
      <c r="E35" s="91"/>
      <c r="F35" s="78"/>
      <c r="G35" s="77"/>
      <c r="H35" s="77"/>
      <c r="I35" s="78"/>
      <c r="J35" s="78"/>
      <c r="K35" s="77"/>
      <c r="L35" s="77"/>
      <c r="M35" s="78"/>
      <c r="N35" s="78"/>
      <c r="O35" s="77"/>
    </row>
    <row r="36" spans="1:15" ht="15.5" thickBot="1" x14ac:dyDescent="0.3">
      <c r="A36" s="6"/>
      <c r="B36" s="13" t="s">
        <v>74</v>
      </c>
      <c r="C36" s="9"/>
      <c r="D36" s="39">
        <f>SUM(D9:D34)</f>
        <v>9118</v>
      </c>
      <c r="E36" s="79"/>
      <c r="F36" s="6"/>
      <c r="G36" s="6"/>
      <c r="H36" s="6"/>
      <c r="I36" s="6"/>
      <c r="J36" s="6"/>
      <c r="K36" s="6"/>
      <c r="L36" s="6"/>
      <c r="M36" s="6"/>
      <c r="N36" s="6"/>
      <c r="O36" s="6"/>
    </row>
    <row r="37" spans="1:15" x14ac:dyDescent="0.25">
      <c r="A37" s="6"/>
      <c r="B37" s="6"/>
      <c r="C37" s="6"/>
      <c r="D37" s="6"/>
      <c r="E37" s="6"/>
      <c r="F37" s="6"/>
      <c r="G37" s="6"/>
      <c r="H37" s="6"/>
      <c r="I37" s="6"/>
      <c r="J37" s="6"/>
      <c r="K37" s="6"/>
      <c r="L37" s="6"/>
      <c r="M37" s="6"/>
      <c r="N37" s="6"/>
      <c r="O37" s="6"/>
    </row>
    <row r="38" spans="1:15" x14ac:dyDescent="0.25">
      <c r="A38" s="6"/>
      <c r="B38" s="6"/>
      <c r="C38" s="6"/>
      <c r="D38" s="6"/>
      <c r="E38" s="6"/>
      <c r="F38" s="6"/>
      <c r="G38" s="6"/>
      <c r="H38" s="6"/>
      <c r="I38" s="6"/>
      <c r="J38" s="6"/>
      <c r="K38" s="6"/>
      <c r="L38" s="6"/>
      <c r="M38" s="6"/>
      <c r="N38" s="6"/>
      <c r="O38" s="6"/>
    </row>
    <row r="39" spans="1:15" x14ac:dyDescent="0.25">
      <c r="A39" s="6"/>
      <c r="B39" s="6"/>
      <c r="C39" s="6"/>
      <c r="D39" s="6"/>
      <c r="E39" s="6"/>
      <c r="F39" s="6"/>
      <c r="G39" s="6"/>
      <c r="H39" s="6"/>
      <c r="I39" s="6"/>
      <c r="J39" s="6"/>
      <c r="K39" s="6"/>
      <c r="L39" s="6"/>
      <c r="M39" s="6"/>
      <c r="N39" s="6"/>
      <c r="O39" s="6"/>
    </row>
    <row r="40" spans="1:15" x14ac:dyDescent="0.25">
      <c r="A40" s="6"/>
      <c r="B40" s="6"/>
      <c r="C40" s="6"/>
      <c r="D40" s="6"/>
      <c r="E40" s="6"/>
      <c r="F40" s="6"/>
      <c r="G40" s="6"/>
      <c r="H40" s="6"/>
      <c r="I40" s="6"/>
      <c r="J40" s="6"/>
      <c r="K40" s="6"/>
      <c r="L40" s="6"/>
      <c r="M40" s="6"/>
      <c r="N40" s="6"/>
      <c r="O40" s="6"/>
    </row>
    <row r="41" spans="1:15" x14ac:dyDescent="0.25">
      <c r="A41" s="6"/>
      <c r="B41" s="6"/>
      <c r="C41" s="6"/>
      <c r="D41" s="6" t="s">
        <v>49</v>
      </c>
      <c r="E41" s="6"/>
      <c r="F41" s="6"/>
      <c r="G41" s="6"/>
      <c r="H41" s="6"/>
      <c r="I41" s="6"/>
      <c r="J41" s="6"/>
      <c r="K41" s="6"/>
      <c r="L41" s="6"/>
      <c r="M41" s="6"/>
      <c r="N41" s="6"/>
      <c r="O41" s="6"/>
    </row>
    <row r="42" spans="1:15" x14ac:dyDescent="0.25">
      <c r="A42" s="6"/>
      <c r="B42" s="6"/>
      <c r="C42" s="6"/>
      <c r="D42" s="6"/>
      <c r="E42" s="9"/>
      <c r="F42" s="9"/>
      <c r="G42" s="9"/>
      <c r="H42" s="6"/>
      <c r="I42" s="6"/>
      <c r="J42" s="6"/>
      <c r="K42" s="6"/>
      <c r="L42" s="6"/>
      <c r="M42" s="6"/>
      <c r="N42" s="6"/>
      <c r="O42" s="6"/>
    </row>
    <row r="43" spans="1:15" x14ac:dyDescent="0.25">
      <c r="A43" s="6"/>
      <c r="B43" s="6"/>
      <c r="C43" s="6"/>
      <c r="D43" s="14"/>
      <c r="E43" s="6" t="s">
        <v>66</v>
      </c>
      <c r="F43" s="6"/>
      <c r="G43" s="6"/>
      <c r="H43" s="6"/>
      <c r="I43" s="6"/>
      <c r="J43" s="6"/>
      <c r="K43" s="6"/>
      <c r="L43" s="6"/>
      <c r="M43" s="6"/>
      <c r="N43" s="6"/>
      <c r="O43" s="6"/>
    </row>
    <row r="44" spans="1:15" x14ac:dyDescent="0.25">
      <c r="A44" s="6"/>
      <c r="B44" s="6"/>
      <c r="C44" s="6"/>
      <c r="D44" s="6"/>
      <c r="E44" s="114" t="s">
        <v>76</v>
      </c>
      <c r="F44" s="114"/>
      <c r="G44" s="114"/>
      <c r="H44" s="114"/>
      <c r="I44" s="114"/>
      <c r="J44" s="114"/>
      <c r="K44" s="114"/>
      <c r="L44" s="114"/>
      <c r="M44" s="15"/>
      <c r="N44" s="15"/>
      <c r="O44" s="15"/>
    </row>
    <row r="45" spans="1:15" x14ac:dyDescent="0.25">
      <c r="A45" s="6"/>
      <c r="B45" s="6"/>
      <c r="C45" s="6"/>
      <c r="D45" s="6"/>
      <c r="E45" s="6"/>
      <c r="F45" s="6"/>
      <c r="G45" s="6"/>
      <c r="H45" s="6"/>
      <c r="I45" s="6"/>
      <c r="J45" s="6"/>
      <c r="K45" s="6"/>
      <c r="L45" s="6"/>
      <c r="M45" s="6"/>
      <c r="N45" s="6"/>
      <c r="O45" s="6"/>
    </row>
    <row r="46" spans="1:15" x14ac:dyDescent="0.25">
      <c r="A46" s="6"/>
      <c r="B46" s="6"/>
      <c r="C46" s="6"/>
      <c r="D46" s="6"/>
      <c r="E46" s="6" t="s">
        <v>77</v>
      </c>
      <c r="F46" s="6"/>
      <c r="G46" s="6"/>
      <c r="H46" s="6"/>
      <c r="I46" s="7"/>
      <c r="J46" s="7"/>
      <c r="K46" s="7"/>
      <c r="L46" s="6"/>
      <c r="M46" s="6"/>
      <c r="N46" s="6"/>
      <c r="O46" s="6"/>
    </row>
    <row r="47" spans="1:15" x14ac:dyDescent="0.25">
      <c r="A47" s="6"/>
      <c r="B47" s="6"/>
      <c r="C47" s="6"/>
      <c r="D47" s="6"/>
      <c r="E47" s="16"/>
      <c r="F47" s="16"/>
      <c r="G47" s="16"/>
      <c r="H47" s="6"/>
      <c r="I47" s="6"/>
      <c r="J47" s="6"/>
      <c r="K47" s="6"/>
      <c r="L47" s="6"/>
      <c r="M47" s="6"/>
      <c r="N47" s="6"/>
      <c r="O47" s="6"/>
    </row>
    <row r="48" spans="1:15" x14ac:dyDescent="0.25">
      <c r="A48" s="6"/>
      <c r="B48" s="6"/>
      <c r="C48" s="6"/>
      <c r="D48" s="6"/>
      <c r="E48" s="16"/>
      <c r="F48" s="16"/>
      <c r="G48" s="16"/>
      <c r="H48" s="6"/>
      <c r="I48" s="6"/>
      <c r="J48" s="6"/>
      <c r="K48" s="6"/>
      <c r="L48" s="6"/>
      <c r="M48" s="6"/>
      <c r="N48" s="6"/>
      <c r="O48" s="6"/>
    </row>
    <row r="49" spans="1:15" x14ac:dyDescent="0.25">
      <c r="A49" s="6"/>
      <c r="B49" s="6"/>
      <c r="C49" s="6"/>
      <c r="D49" s="6"/>
      <c r="E49" s="16"/>
      <c r="F49" s="16"/>
      <c r="G49" s="16"/>
      <c r="H49" s="6"/>
      <c r="I49" s="6"/>
      <c r="J49" s="6"/>
      <c r="K49" s="6"/>
      <c r="L49" s="6"/>
      <c r="M49" s="6"/>
      <c r="N49" s="6"/>
      <c r="O49" s="6"/>
    </row>
    <row r="50" spans="1:15" x14ac:dyDescent="0.25">
      <c r="A50" s="6"/>
      <c r="B50" s="6"/>
      <c r="C50" s="6"/>
      <c r="D50" s="6"/>
      <c r="E50" s="16"/>
      <c r="F50" s="16"/>
      <c r="G50" s="16"/>
      <c r="H50" s="6"/>
      <c r="I50" s="6"/>
      <c r="J50" s="6"/>
      <c r="K50" s="6"/>
      <c r="L50" s="6"/>
      <c r="M50" s="6"/>
      <c r="N50" s="6"/>
      <c r="O50" s="6"/>
    </row>
    <row r="51" spans="1:15" x14ac:dyDescent="0.25">
      <c r="A51" s="6"/>
      <c r="B51" s="6"/>
      <c r="C51" s="6"/>
      <c r="D51" s="6"/>
      <c r="E51" s="16"/>
      <c r="F51" s="16"/>
      <c r="G51" s="16"/>
      <c r="H51" s="6"/>
      <c r="I51" s="6"/>
      <c r="J51" s="6"/>
      <c r="K51" s="6"/>
      <c r="L51" s="6"/>
      <c r="M51" s="6"/>
      <c r="N51" s="6"/>
      <c r="O51" s="6"/>
    </row>
    <row r="52" spans="1:15" x14ac:dyDescent="0.25">
      <c r="A52" s="6"/>
      <c r="B52" s="6"/>
      <c r="C52" s="6"/>
      <c r="D52" s="6"/>
      <c r="E52" s="6"/>
      <c r="F52" s="6"/>
      <c r="G52" s="6"/>
      <c r="H52" s="6"/>
      <c r="I52" s="6"/>
      <c r="J52" s="6"/>
      <c r="K52" s="6"/>
      <c r="L52" s="6"/>
      <c r="M52" s="6"/>
      <c r="N52" s="6"/>
      <c r="O52" s="6"/>
    </row>
    <row r="53" spans="1:15" x14ac:dyDescent="0.25">
      <c r="A53" s="6"/>
      <c r="B53" s="6"/>
      <c r="C53" s="6"/>
      <c r="D53" s="6"/>
      <c r="H53" s="6"/>
      <c r="I53" s="6"/>
      <c r="J53" s="6"/>
      <c r="K53" s="6"/>
      <c r="L53" s="6"/>
      <c r="M53" s="6"/>
      <c r="N53" s="6"/>
      <c r="O53" s="6"/>
    </row>
    <row r="54" spans="1:15" x14ac:dyDescent="0.25">
      <c r="A54" s="6"/>
      <c r="B54" s="6"/>
      <c r="C54" s="6"/>
      <c r="D54" s="6"/>
      <c r="E54" s="6"/>
      <c r="F54" s="6"/>
      <c r="G54" s="6"/>
      <c r="H54" s="6"/>
      <c r="I54" s="6"/>
      <c r="J54" s="6"/>
      <c r="K54" s="6"/>
      <c r="L54" s="6"/>
      <c r="M54" s="6"/>
      <c r="N54" s="6"/>
      <c r="O54" s="6"/>
    </row>
  </sheetData>
  <sheetProtection selectLockedCells="1"/>
  <dataValidations count="1">
    <dataValidation type="list" allowBlank="1" showInputMessage="1" showErrorMessage="1" sqref="F20:F21 F17:F18 N33 J8:J15 J17:J18 J20:J21 N20:N21 N17 F8:F15 F33 J33 N8:N15" xr:uid="{00000000-0002-0000-0600-000000000000}">
      <formula1>$D$38:$D$39</formula1>
    </dataValidation>
  </dataValidations>
  <pageMargins left="0.39" right="0.37" top="0.52" bottom="0.49" header="0.5" footer="0.5"/>
  <pageSetup paperSize="9" scale="58" orientation="landscape" r:id="rId1"/>
  <headerFooter alignWithMargins="0">
    <oddHeader>&amp;C&amp;"Calibri"&amp;12&amp;KC00000 OFFICIAL&amp;1#_x000D_</oddHeader>
    <oddFooter>&amp;C_x000D_&amp;1#&amp;"Calibri"&amp;12&amp;KC00000 OFFICIAL</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4:N16"/>
  <sheetViews>
    <sheetView workbookViewId="0">
      <selection activeCell="C20" sqref="C20"/>
    </sheetView>
  </sheetViews>
  <sheetFormatPr defaultRowHeight="12.5" x14ac:dyDescent="0.25"/>
  <cols>
    <col min="1" max="1" width="11.81640625" customWidth="1"/>
    <col min="2" max="2" width="42.7265625" customWidth="1"/>
    <col min="3" max="3" width="9.54296875" bestFit="1" customWidth="1"/>
  </cols>
  <sheetData>
    <row r="4" spans="1:14" ht="15" x14ac:dyDescent="0.3">
      <c r="A4" s="144" t="s">
        <v>98</v>
      </c>
      <c r="B4" s="144"/>
      <c r="C4" s="144"/>
      <c r="D4" s="144"/>
      <c r="E4" s="144"/>
      <c r="F4" s="144"/>
      <c r="G4" s="144"/>
      <c r="H4" s="144"/>
      <c r="I4" s="144"/>
      <c r="J4" s="144"/>
      <c r="K4" s="144"/>
      <c r="L4" s="144"/>
    </row>
    <row r="5" spans="1:14" ht="15" x14ac:dyDescent="0.3">
      <c r="A5" s="103"/>
      <c r="B5" s="103" t="s">
        <v>99</v>
      </c>
      <c r="C5" s="103" t="s">
        <v>99</v>
      </c>
      <c r="D5" s="103"/>
      <c r="E5" s="103"/>
      <c r="F5" s="103"/>
      <c r="G5" s="103"/>
      <c r="H5" s="103"/>
      <c r="I5" s="103"/>
      <c r="J5" s="103"/>
      <c r="K5" s="103"/>
      <c r="L5" s="103"/>
    </row>
    <row r="6" spans="1:14" ht="15" x14ac:dyDescent="0.3">
      <c r="A6" s="103" t="s">
        <v>100</v>
      </c>
      <c r="B6" s="103" t="s">
        <v>101</v>
      </c>
      <c r="C6" s="104">
        <f>ROUND(ROUND(266*ROUND($N$7/$N$6,3),0),0)</f>
        <v>272</v>
      </c>
      <c r="D6" s="105" t="s">
        <v>102</v>
      </c>
      <c r="E6" s="103"/>
      <c r="F6" s="103"/>
      <c r="G6" s="103"/>
      <c r="H6" s="103"/>
      <c r="I6" s="103"/>
      <c r="J6" s="103"/>
      <c r="K6" s="103"/>
      <c r="L6" s="103"/>
      <c r="N6" s="128">
        <v>137.4</v>
      </c>
    </row>
    <row r="7" spans="1:14" ht="15" x14ac:dyDescent="0.3">
      <c r="A7" s="103" t="s">
        <v>103</v>
      </c>
      <c r="B7" s="103" t="s">
        <v>104</v>
      </c>
      <c r="C7" s="104">
        <f>ROUND(ROUND(201*ROUND($N$7/$N$6,3),0),0)</f>
        <v>206</v>
      </c>
      <c r="D7" s="105" t="s">
        <v>102</v>
      </c>
      <c r="E7" s="103"/>
      <c r="F7" s="103"/>
      <c r="G7" s="103"/>
      <c r="H7" s="103"/>
      <c r="I7" s="103"/>
      <c r="J7" s="103"/>
      <c r="K7" s="103"/>
      <c r="L7" s="103"/>
      <c r="N7" s="128">
        <v>140.69999999999999</v>
      </c>
    </row>
    <row r="8" spans="1:14" ht="15" x14ac:dyDescent="0.3">
      <c r="A8" s="103" t="s">
        <v>105</v>
      </c>
      <c r="B8" s="103" t="s">
        <v>106</v>
      </c>
      <c r="C8" s="104">
        <f>ROUND(ROUND(400*ROUND($N$7/$N$6,3),0),0)</f>
        <v>410</v>
      </c>
      <c r="D8" s="105" t="s">
        <v>102</v>
      </c>
      <c r="E8" s="103"/>
      <c r="F8" s="103"/>
      <c r="G8" s="103"/>
      <c r="H8" s="103"/>
      <c r="I8" s="103"/>
      <c r="J8" s="103"/>
      <c r="K8" s="103"/>
      <c r="L8" s="103"/>
    </row>
    <row r="9" spans="1:14" ht="15" x14ac:dyDescent="0.3">
      <c r="A9" s="103" t="s">
        <v>107</v>
      </c>
      <c r="B9" s="103" t="s">
        <v>108</v>
      </c>
      <c r="C9" s="104">
        <f>ROUND(ROUND(474*ROUND($N$7/$N$6,3),0),0)</f>
        <v>485</v>
      </c>
      <c r="D9" s="105" t="s">
        <v>102</v>
      </c>
      <c r="E9" s="103"/>
      <c r="F9" s="103"/>
      <c r="G9" s="103"/>
      <c r="H9" s="103"/>
      <c r="I9" s="103"/>
      <c r="J9" s="103"/>
      <c r="K9" s="103"/>
      <c r="L9" s="103"/>
    </row>
    <row r="10" spans="1:14" ht="15" x14ac:dyDescent="0.3">
      <c r="A10" s="103" t="s">
        <v>109</v>
      </c>
      <c r="B10" s="103" t="s">
        <v>110</v>
      </c>
      <c r="C10" s="104">
        <f>ROUND(ROUND(474*ROUND($N$7/$N$6,3),0),0)</f>
        <v>485</v>
      </c>
      <c r="D10" s="105" t="s">
        <v>102</v>
      </c>
      <c r="E10" s="103"/>
      <c r="F10" s="103"/>
      <c r="G10" s="103"/>
      <c r="H10" s="103"/>
      <c r="I10" s="103"/>
      <c r="J10" s="103"/>
      <c r="K10" s="103"/>
      <c r="L10" s="103"/>
    </row>
    <row r="11" spans="1:14" ht="15" x14ac:dyDescent="0.3">
      <c r="A11" s="103" t="s">
        <v>111</v>
      </c>
      <c r="B11" s="103" t="s">
        <v>112</v>
      </c>
      <c r="C11" s="104">
        <f>ROUND(ROUND(217*ROUND($N$7/$N$6,3),0),0)</f>
        <v>222</v>
      </c>
      <c r="D11" s="105" t="s">
        <v>102</v>
      </c>
      <c r="E11" s="103"/>
      <c r="F11" s="103"/>
      <c r="G11" s="103"/>
      <c r="H11" s="103"/>
      <c r="I11" s="103"/>
      <c r="J11" s="103"/>
      <c r="K11" s="103"/>
      <c r="L11" s="103"/>
    </row>
    <row r="12" spans="1:14" ht="15" x14ac:dyDescent="0.3">
      <c r="A12" s="103" t="s">
        <v>113</v>
      </c>
      <c r="B12" s="103" t="s">
        <v>114</v>
      </c>
      <c r="C12" s="104">
        <f>ROUND(ROUND(251*ROUND($N$7/$N$6,3),0),0)</f>
        <v>257</v>
      </c>
      <c r="D12" s="105" t="s">
        <v>102</v>
      </c>
      <c r="E12" s="103"/>
      <c r="F12" s="103"/>
      <c r="G12" s="103"/>
      <c r="H12" s="103"/>
      <c r="I12" s="103"/>
      <c r="J12" s="103"/>
      <c r="K12" s="103"/>
      <c r="L12" s="103"/>
    </row>
    <row r="13" spans="1:14" ht="15" x14ac:dyDescent="0.3">
      <c r="A13" s="103" t="s">
        <v>115</v>
      </c>
      <c r="B13" s="103" t="s">
        <v>116</v>
      </c>
      <c r="C13" s="104">
        <f>ROUND(ROUND(201*ROUND($N$7/$N$6,3),0),0)</f>
        <v>206</v>
      </c>
      <c r="D13" s="105" t="s">
        <v>102</v>
      </c>
      <c r="E13" s="103"/>
      <c r="F13" s="103"/>
      <c r="G13" s="103"/>
      <c r="H13" s="103"/>
      <c r="I13" s="103"/>
      <c r="J13" s="103"/>
      <c r="K13" s="103"/>
      <c r="L13" s="103"/>
    </row>
    <row r="14" spans="1:14" ht="15" x14ac:dyDescent="0.3">
      <c r="A14" s="103" t="s">
        <v>117</v>
      </c>
      <c r="B14" s="103" t="s">
        <v>118</v>
      </c>
      <c r="C14" s="104">
        <f>ROUND(ROUND(217*ROUND($N$7/$N$6,3),0),0)</f>
        <v>222</v>
      </c>
      <c r="D14" s="105" t="s">
        <v>102</v>
      </c>
      <c r="E14" s="103"/>
      <c r="F14" s="103"/>
      <c r="G14" s="103"/>
      <c r="H14" s="103"/>
      <c r="I14" s="103"/>
      <c r="J14" s="103"/>
      <c r="K14" s="103"/>
      <c r="L14" s="103"/>
    </row>
    <row r="15" spans="1:14" ht="15" x14ac:dyDescent="0.3">
      <c r="A15" s="103" t="s">
        <v>119</v>
      </c>
      <c r="B15" s="103" t="s">
        <v>120</v>
      </c>
      <c r="C15" s="104">
        <f>ROUND(ROUND(602*ROUND($N$7/$N$6,3),0),0)</f>
        <v>616</v>
      </c>
      <c r="D15" s="105" t="s">
        <v>102</v>
      </c>
      <c r="E15" s="103"/>
      <c r="F15" s="103"/>
      <c r="G15" s="103"/>
      <c r="H15" s="103"/>
      <c r="I15" s="103"/>
      <c r="J15" s="103"/>
      <c r="K15" s="103"/>
      <c r="L15" s="103"/>
    </row>
    <row r="16" spans="1:14" ht="15" x14ac:dyDescent="0.3">
      <c r="A16" s="103" t="s">
        <v>121</v>
      </c>
      <c r="B16" s="103" t="s">
        <v>122</v>
      </c>
      <c r="C16" s="104">
        <f>ROUND(ROUND(221*ROUND($N$7/$N$6,3),0),0)</f>
        <v>226</v>
      </c>
      <c r="D16" s="105" t="s">
        <v>102</v>
      </c>
      <c r="E16" s="103"/>
      <c r="F16" s="103"/>
      <c r="G16" s="103"/>
      <c r="H16" s="103"/>
      <c r="I16" s="103"/>
      <c r="J16" s="103"/>
      <c r="K16" s="103"/>
      <c r="L16" s="103"/>
    </row>
  </sheetData>
  <mergeCells count="1">
    <mergeCell ref="A4:L4"/>
  </mergeCells>
  <pageMargins left="0.7" right="0.7" top="0.75" bottom="0.75" header="0.3" footer="0.3"/>
  <pageSetup paperSize="166" orientation="portrait" r:id="rId1"/>
  <headerFooter>
    <oddHeader>&amp;C&amp;"Calibri"&amp;12&amp;KC00000 OFFICIAL&amp;1#_x000D_</oddHeader>
    <oddFooter>&amp;C_x000D_&amp;1#&amp;"Calibri"&amp;12&amp;KC00000 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J35" sqref="J35"/>
    </sheetView>
  </sheetViews>
  <sheetFormatPr defaultRowHeight="12.5" x14ac:dyDescent="0.25"/>
  <sheetData/>
  <pageMargins left="0.7" right="0.7" top="0.75" bottom="0.75" header="0.3" footer="0.3"/>
  <headerFooter>
    <oddHeader>&amp;C&amp;"Calibri"&amp;12&amp;KC00000 OFFICIAL&amp;1#_x000D_</oddHeader>
    <oddFooter>&amp;C_x000D_&amp;1#&amp;"Calibri"&amp;12&amp;KC00000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NMI Document" ma:contentTypeID="0x0101100025AF4C23721A4F4FB44C7E671DA01F230089D8A35C3731494C96F3F9C87E2D3C28" ma:contentTypeVersion="12" ma:contentTypeDescription="A document that is stored on the NMI site" ma:contentTypeScope="" ma:versionID="e5b505c9eaa826688a3ddee5e29aa18b">
  <xsd:schema xmlns:xsd="http://www.w3.org/2001/XMLSchema" xmlns:xs="http://www.w3.org/2001/XMLSchema" xmlns:p="http://schemas.microsoft.com/office/2006/metadata/properties" xmlns:ns1="http://schemas.microsoft.com/sharepoint/v3" xmlns:ns2="a9f017e7-a48c-48bc-b49a-1be409ebd71c" xmlns:ns3="c6030b34-78d8-41e5-83a9-a89b1c0ecdf2" targetNamespace="http://schemas.microsoft.com/office/2006/metadata/properties" ma:root="true" ma:fieldsID="8ad4f584e58131919a0f4535b66fa79a" ns1:_="" ns2:_="" ns3:_="">
    <xsd:import namespace="http://schemas.microsoft.com/sharepoint/v3"/>
    <xsd:import namespace="a9f017e7-a48c-48bc-b49a-1be409ebd71c"/>
    <xsd:import namespace="c6030b34-78d8-41e5-83a9-a89b1c0ecdf2"/>
    <xsd:element name="properties">
      <xsd:complexType>
        <xsd:sequence>
          <xsd:element name="documentManagement">
            <xsd:complexType>
              <xsd:all>
                <xsd:element ref="ns1:Comments" minOccurs="0"/>
                <xsd:element ref="ns2:SubjectLookupField" minOccurs="0"/>
                <xsd:element ref="ns2:FunctionLookupField" minOccurs="0"/>
                <xsd:element ref="ns2:KeywordsLookupField" minOccurs="0"/>
                <xsd:element ref="ns3:AudienceField" minOccurs="0"/>
                <xsd:element ref="ns3:FileReference" minOccurs="0"/>
                <xsd:element ref="ns1:PublishingStartDate" minOccurs="0"/>
                <xsd:element ref="ns1:PublishingExpirationDate" minOccurs="0"/>
                <xsd:element ref="ns1:PublishingContact" minOccurs="0"/>
                <xsd:element ref="ns3:IncludeInNotificationsAndUpda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Description" ma:internalName="Comments">
      <xsd:simpleType>
        <xsd:restriction base="dms:Note">
          <xsd:maxLength value="255"/>
        </xsd:restriction>
      </xsd:simpleType>
    </xsd:element>
    <xsd:element name="PublishingStartDate" ma:index="14" nillable="true" ma:displayName="Start Date" ma:internalName="PublishingStartDate" ma:readOnly="false">
      <xsd:simpleType>
        <xsd:restriction base="dms:Unknown"/>
      </xsd:simpleType>
    </xsd:element>
    <xsd:element name="PublishingExpirationDate" ma:index="15" nillable="true" ma:displayName="End Date" ma:internalName="PublishingExpirationDate" ma:readOnly="false">
      <xsd:simpleType>
        <xsd:restriction base="dms:Unknown"/>
      </xsd:simpleType>
    </xsd:element>
    <xsd:element name="PublishingContact" ma:index="16" nillable="true" ma:displayName="Page Contact"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9f017e7-a48c-48bc-b49a-1be409ebd71c" elementFormDefault="qualified">
    <xsd:import namespace="http://schemas.microsoft.com/office/2006/documentManagement/types"/>
    <xsd:import namespace="http://schemas.microsoft.com/office/infopath/2007/PartnerControls"/>
    <xsd:element name="SubjectLookupField" ma:index="9" nillable="true" ma:displayName="Subject" ma:list="55e92e21-ef0e-4267-a133-145e5bb0df9f" ma:internalName="SubjectLookupField" ma:web="a9f017e7-a48c-48bc-b49a-1be409ebd71c">
      <xsd:complexType>
        <xsd:complexContent>
          <xsd:extension base="dms:MultiChoiceLookup">
            <xsd:sequence>
              <xsd:element name="Value" type="dms:Lookup" maxOccurs="unbounded" minOccurs="0" nillable="true"/>
            </xsd:sequence>
          </xsd:extension>
        </xsd:complexContent>
      </xsd:complexType>
    </xsd:element>
    <xsd:element name="FunctionLookupField" ma:index="10" nillable="true" ma:displayName="Function" ma:list="6c2c7dcb-3e00-4777-acec-55d4665addc0" ma:internalName="FunctionLookupField" ma:web="a9f017e7-a48c-48bc-b49a-1be409ebd71c">
      <xsd:complexType>
        <xsd:complexContent>
          <xsd:extension base="dms:MultiChoiceLookup">
            <xsd:sequence>
              <xsd:element name="Value" type="dms:Lookup" maxOccurs="unbounded" minOccurs="0" nillable="true"/>
            </xsd:sequence>
          </xsd:extension>
        </xsd:complexContent>
      </xsd:complexType>
    </xsd:element>
    <xsd:element name="KeywordsLookupField" ma:index="11" nillable="true" ma:displayName="Keywords" ma:list="96373275-198f-4301-8e65-b152895fc438" ma:internalName="KeywordsLookupField" ma:web="a9f017e7-a48c-48bc-b49a-1be409ebd71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6030b34-78d8-41e5-83a9-a89b1c0ecdf2" elementFormDefault="qualified">
    <xsd:import namespace="http://schemas.microsoft.com/office/2006/documentManagement/types"/>
    <xsd:import namespace="http://schemas.microsoft.com/office/infopath/2007/PartnerControls"/>
    <xsd:element name="AudienceField" ma:index="12" nillable="true" ma:displayName="Audience" ma:internalName="AudienceField">
      <xsd:simpleType>
        <xsd:restriction base="dms:Text"/>
      </xsd:simpleType>
    </xsd:element>
    <xsd:element name="FileReference" ma:index="13" nillable="true" ma:displayName="File Reference" ma:internalName="FileReference">
      <xsd:simpleType>
        <xsd:restriction base="dms:Text"/>
      </xsd:simpleType>
    </xsd:element>
    <xsd:element name="IncludeInNotificationsAndUpdates" ma:index="17" nillable="true" ma:displayName="Include In Notifications And Updates" ma:default="1" ma:internalName="IncludeInNotificationsAndUpdates">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Contact xmlns="http://schemas.microsoft.com/sharepoint/v3">
      <UserInfo>
        <DisplayName>online</DisplayName>
        <AccountId>818</AccountId>
        <AccountType/>
      </UserInfo>
    </PublishingContact>
    <IncludeInNotificationsAndUpdates xmlns="c6030b34-78d8-41e5-83a9-a89b1c0ecdf2">false</IncludeInNotificationsAndUpdates>
    <FunctionLookupField xmlns="a9f017e7-a48c-48bc-b49a-1be409ebd71c"/>
    <PublishingExpirationDate xmlns="http://schemas.microsoft.com/sharepoint/v3" xsi:nil="true"/>
    <PublishingStartDate xmlns="http://schemas.microsoft.com/sharepoint/v3" xsi:nil="true"/>
    <AudienceField xmlns="c6030b34-78d8-41e5-83a9-a89b1c0ecdf2" xsi:nil="true"/>
    <KeywordsLookupField xmlns="a9f017e7-a48c-48bc-b49a-1be409ebd71c"/>
    <FileReference xmlns="c6030b34-78d8-41e5-83a9-a89b1c0ecdf2">13/010/1168</FileReference>
    <Comments xmlns="http://schemas.microsoft.com/sharepoint/v3">Pattern Approval Fee Guide 2017-2018</Comments>
    <SubjectLookupField xmlns="a9f017e7-a48c-48bc-b49a-1be409ebd71c"/>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9E5BA6-45A0-4215-B7FA-E8EBE79AB98B}">
  <ds:schemaRefs>
    <ds:schemaRef ds:uri="http://schemas.microsoft.com/office/2006/metadata/longProperties"/>
  </ds:schemaRefs>
</ds:datastoreItem>
</file>

<file path=customXml/itemProps2.xml><?xml version="1.0" encoding="utf-8"?>
<ds:datastoreItem xmlns:ds="http://schemas.openxmlformats.org/officeDocument/2006/customXml" ds:itemID="{55AB9630-C428-49C8-B6DA-687BEE113A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9f017e7-a48c-48bc-b49a-1be409ebd71c"/>
    <ds:schemaRef ds:uri="c6030b34-78d8-41e5-83a9-a89b1c0ecd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066A80-5553-45EF-A841-55D6466F284F}">
  <ds:schemaRefs>
    <ds:schemaRef ds:uri="http://schemas.microsoft.com/office/2006/metadata/properties"/>
    <ds:schemaRef ds:uri="http://schemas.microsoft.com/office/2006/documentManagement/types"/>
    <ds:schemaRef ds:uri="http://schemas.microsoft.com/sharepoint/v3"/>
    <ds:schemaRef ds:uri="a9f017e7-a48c-48bc-b49a-1be409ebd71c"/>
    <ds:schemaRef ds:uri="http://purl.org/dc/terms/"/>
    <ds:schemaRef ds:uri="http://schemas.openxmlformats.org/package/2006/metadata/core-properties"/>
    <ds:schemaRef ds:uri="http://purl.org/dc/dcmitype/"/>
    <ds:schemaRef ds:uri="c6030b34-78d8-41e5-83a9-a89b1c0ecdf2"/>
    <ds:schemaRef ds:uri="http://purl.org/dc/elements/1.1/"/>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1912B65C-173F-4DFA-8995-88149FD88465}">
  <ds:schemaRefs>
    <ds:schemaRef ds:uri="http://schemas.microsoft.com/sharepoint/v3/contenttype/forms"/>
  </ds:schemaRefs>
</ds:datastoreItem>
</file>

<file path=docMetadata/LabelInfo.xml><?xml version="1.0" encoding="utf-8"?>
<clbl:labelList xmlns:clbl="http://schemas.microsoft.com/office/2020/mipLabelMetadata">
  <clbl:label id="{f788632b-1377-4314-aac5-af7281e8e760}" enabled="1" method="Privileged" siteId="{8f73f427-32e5-4a3b-8d42-b369b956a96b}"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Pattern Approval Fees</vt:lpstr>
      <vt:lpstr>Volume Measuring</vt:lpstr>
      <vt:lpstr>Weighing &amp; Dimensioning</vt:lpstr>
      <vt:lpstr>Evidential Breath Analysers</vt:lpstr>
      <vt:lpstr>Grain Protein</vt:lpstr>
      <vt:lpstr>Utility meters</vt:lpstr>
      <vt:lpstr>Point of Sale Systems(POS)</vt:lpstr>
      <vt:lpstr>Hourly rate for Equipment</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Pattern Approval Fee Guide</dc:title>
  <dc:creator/>
  <cp:lastModifiedBy/>
  <dcterms:created xsi:type="dcterms:W3CDTF">2014-06-22T23:59:05Z</dcterms:created>
  <dcterms:modified xsi:type="dcterms:W3CDTF">2025-06-09T23:28:49Z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0x0101100025AF4C23721A4F4FB44C7E671DA01F230089D8A35C3731494C96F3F9C87E2D3C28</vt:lpwstr>
  </property>
  <property fmtid="{D5CDD505-2E9C-101B-9397-08002B2CF9AE}" pid="3" name="xd_Signature">
    <vt:bool>false</vt:bool>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TemplateUrl">
    <vt:lpwstr/>
  </property>
</Properties>
</file>