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Desktop\"/>
    </mc:Choice>
  </mc:AlternateContent>
  <bookViews>
    <workbookView xWindow="3190" yWindow="1810" windowWidth="15360" windowHeight="7930" tabRatio="691" activeTab="1"/>
  </bookViews>
  <sheets>
    <sheet name="Cover" sheetId="1" r:id="rId1"/>
    <sheet name="Instrument specs" sheetId="2" r:id="rId2"/>
    <sheet name="Load cell and indicator specs" sheetId="3" r:id="rId3"/>
    <sheet name="6B0 Analysis" sheetId="4" r:id="rId4"/>
    <sheet name="Report - single range" sheetId="5" r:id="rId5"/>
    <sheet name="Report - 2 range or interval" sheetId="6" r:id="rId6"/>
    <sheet name="Report - 3 range or interval" sheetId="18" r:id="rId7"/>
    <sheet name="Report - 4 range or interval" sheetId="19" r:id="rId8"/>
    <sheet name="Lookup" sheetId="7" state="hidden" r:id="rId9"/>
    <sheet name="Revision History" sheetId="9" r:id="rId10"/>
  </sheets>
  <definedNames>
    <definedName name="cell_DR">'Load cell and indicator specs'!$I$15</definedName>
    <definedName name="cell_imped">'Load cell and indicator specs'!$I$17</definedName>
    <definedName name="cell_make">'Load cell and indicator specs'!$I$9</definedName>
    <definedName name="cell_max_cap">'Load cell and indicator specs'!$I$12</definedName>
    <definedName name="cell_max_e">'Load cell and indicator specs'!$I$13</definedName>
    <definedName name="cell_max_factor">'Load cell and indicator specs'!$S$12</definedName>
    <definedName name="cell_model">'Load cell and indicator specs'!$I$10</definedName>
    <definedName name="cell_mv">'Load cell and indicator specs'!$I$16</definedName>
    <definedName name="cell_S_No.">'Load cell and indicator specs'!$I$7</definedName>
    <definedName name="cell_Vexc">'Load cell and indicator specs'!$I$18</definedName>
    <definedName name="cell_Vmin">'Load cell and indicator specs'!$I$14</definedName>
    <definedName name="ind_make">'Load cell and indicator specs'!$I$28</definedName>
    <definedName name="ind_max_e">'Load cell and indicator specs'!$I$31</definedName>
    <definedName name="ind_max_I">'Load cell and indicator specs'!$I$35</definedName>
    <definedName name="ind_model">'Load cell and indicator specs'!$I$29</definedName>
    <definedName name="ind_S_No.">'Load cell and indicator specs'!$I$26</definedName>
    <definedName name="ind_sens">'Load cell and indicator specs'!$I$32</definedName>
    <definedName name="ind_Vexc">'Load cell and indicator specs'!$I$33</definedName>
    <definedName name="inst_cap_type">'Instrument specs'!$G$21</definedName>
    <definedName name="inst_conv_no">'Instrument specs'!$G$11</definedName>
    <definedName name="inst_dl">'Instrument specs'!$G$27</definedName>
    <definedName name="inst_e3_factor">'Instrument specs'!$AB$41</definedName>
    <definedName name="inst_e4_factor">'Instrument specs'!$AB$42</definedName>
    <definedName name="inst_hj">'Instrument specs'!$G$26</definedName>
    <definedName name="inst_inst_no">'Instrument specs'!$G$12</definedName>
    <definedName name="inst_inst_type">'Instrument specs'!$G$19</definedName>
    <definedName name="inst_make">'Instrument specs'!$G$14</definedName>
    <definedName name="inst_max_multi">'6B0 Analysis'!$P$43</definedName>
    <definedName name="inst_max_used">'6B0 Analysis'!$P$45</definedName>
    <definedName name="inst_model">'Instrument specs'!$G$15</definedName>
    <definedName name="inst_multi_e_1">'Instrument specs'!$L$40</definedName>
    <definedName name="inst_multi_e_2">'Instrument specs'!$L$41</definedName>
    <definedName name="inst_multi_e_3">'Instrument specs'!$L$42</definedName>
    <definedName name="inst_multi_e_4">'Instrument specs'!$L$43</definedName>
    <definedName name="inst_multi_e_factor">'Instrument specs'!$X$48</definedName>
    <definedName name="inst_multi_max_1">'Instrument specs'!$I$40</definedName>
    <definedName name="inst_multi_max_2">'Instrument specs'!$I$41</definedName>
    <definedName name="inst_multi_max_3">'Instrument specs'!$I$42</definedName>
    <definedName name="inst_multi_max_4">'Instrument specs'!$I$43</definedName>
    <definedName name="inst_multi_max_factor">'Instrument specs'!$V$48</definedName>
    <definedName name="inst_multi_maxer">'Instrument specs'!$V$44</definedName>
    <definedName name="inst_multi_no_e_greatest">'Instrument specs'!$Y$50</definedName>
    <definedName name="inst_multi_no_e_least">'Instrument specs'!$Y$52</definedName>
    <definedName name="inst_multi_no_e1">'Instrument specs'!$N$40</definedName>
    <definedName name="inst_multi_no_e2">'Instrument specs'!$N$41</definedName>
    <definedName name="inst_multi_no_e3">'Instrument specs'!$N$42</definedName>
    <definedName name="inst_multi_no_e4">'Instrument specs'!$N$43</definedName>
    <definedName name="inst_N">'Instrument specs'!$G$24</definedName>
    <definedName name="inst_operation">'Instrument specs'!$G$17</definedName>
    <definedName name="inst_platform_L">'Instrument specs'!$G$29</definedName>
    <definedName name="inst_platform_W">'Instrument specs'!$G$30</definedName>
    <definedName name="inst_R">'Instrument specs'!$G$25</definedName>
    <definedName name="inst_R_calcs">'Instrument specs'!$T$25</definedName>
    <definedName name="inst_recep_type">'Instrument specs'!$G$23</definedName>
    <definedName name="inst_report_no">'Instrument specs'!$G$7</definedName>
    <definedName name="inst_sing_e">'Instrument specs'!$L$34</definedName>
    <definedName name="inst_sing_e_factor">'Instrument specs'!$X$34</definedName>
    <definedName name="inst_sing_max">'Instrument specs'!$G$34</definedName>
    <definedName name="inst_sing_max_factor">'Instrument specs'!$V$34</definedName>
    <definedName name="inst_sing_no_e">'Instrument specs'!$L$36</definedName>
    <definedName name="inst_submittor">'Instrument specs'!#REF!</definedName>
    <definedName name="inst_submittor_name">'Instrument specs'!$G$8</definedName>
    <definedName name="inst_submittor_org">'Instrument specs'!$G$9</definedName>
    <definedName name="inst_submittor_pos">'Instrument specs'!$G$10</definedName>
    <definedName name="inst_value_e_calcs">'6B0 Analysis'!$P$115</definedName>
    <definedName name="new">'6B0 Analysis'!$P$43</definedName>
    <definedName name="output_type">Lookup!$G$29</definedName>
    <definedName name="_xlnm.Print_Area" localSheetId="3">'6B0 Analysis'!$B$1:$K$140</definedName>
    <definedName name="_xlnm.Print_Area" localSheetId="0">Cover!$A$1:$I$29</definedName>
    <definedName name="_xlnm.Print_Area" localSheetId="1">'Instrument specs'!$B$1:$P$52</definedName>
    <definedName name="_xlnm.Print_Area" localSheetId="2">'Load cell and indicator specs'!$B$1:$M$44</definedName>
    <definedName name="_xlnm.Print_Area" localSheetId="5">'Report - 2 range or interval'!$A$1:$F$59</definedName>
    <definedName name="_xlnm.Print_Area" localSheetId="6">'Report - 3 range or interval'!$B$1:$F$60</definedName>
    <definedName name="_xlnm.Print_Area" localSheetId="7">'Report - 4 range or interval'!$B$1:$F$61</definedName>
    <definedName name="_xlnm.Print_Area" localSheetId="4">'Report - single range'!$A$1:$E$58</definedName>
    <definedName name="res_1">'Report - single range'!$E$43</definedName>
    <definedName name="res_2">'Report - single range'!$E$44</definedName>
    <definedName name="res_3">'Report - single range'!$E$45</definedName>
    <definedName name="res_4">'Report - single range'!$E$47</definedName>
    <definedName name="res_5">'Report - single range'!$E$48</definedName>
    <definedName name="res_6">'Report - single range'!$E$49</definedName>
    <definedName name="res_6.1">'Report - single range'!$E$43</definedName>
    <definedName name="res_7">'Report - single range'!#REF!</definedName>
    <definedName name="res_dl">'Report - single range'!$D$43</definedName>
    <definedName name="res_exp_dates">'Report - single range'!$E$40</definedName>
    <definedName name="res_lin">'Report - single range'!$E$41</definedName>
    <definedName name="res_loaded_cap_cells">'Report - single range'!$D$44</definedName>
    <definedName name="res_suit_ind">'Report - single range'!$E$42</definedName>
    <definedName name="res_suit_ind_ranges">'Report - single range'!$D$42</definedName>
    <definedName name="ver">Cover!$H$2</definedName>
    <definedName name="ver_date">Cover!$I$2</definedName>
  </definedNames>
  <calcPr calcId="152511"/>
</workbook>
</file>

<file path=xl/calcChain.xml><?xml version="1.0" encoding="utf-8"?>
<calcChain xmlns="http://schemas.openxmlformats.org/spreadsheetml/2006/main">
  <c r="M19" i="2" l="1"/>
  <c r="D138" i="4"/>
  <c r="B55" i="19" s="1"/>
  <c r="D139" i="4"/>
  <c r="B54" i="6" s="1"/>
  <c r="B23" i="19"/>
  <c r="B23" i="18"/>
  <c r="B23" i="6"/>
  <c r="E25" i="5"/>
  <c r="D25" i="5"/>
  <c r="I132" i="4"/>
  <c r="O133" i="4" s="1"/>
  <c r="Q133" i="4" s="1"/>
  <c r="S136" i="4"/>
  <c r="T136" i="4"/>
  <c r="S135" i="4"/>
  <c r="K33" i="3"/>
  <c r="K32" i="3"/>
  <c r="K34" i="3"/>
  <c r="I11" i="3"/>
  <c r="J12" i="3"/>
  <c r="K31" i="3"/>
  <c r="K11" i="3"/>
  <c r="K16" i="3"/>
  <c r="K17" i="3"/>
  <c r="K35" i="3"/>
  <c r="G21" i="2"/>
  <c r="G106" i="4"/>
  <c r="O106" i="4"/>
  <c r="AF40" i="2"/>
  <c r="AG40" i="2"/>
  <c r="AF41" i="2"/>
  <c r="AG41" i="2"/>
  <c r="G107" i="4"/>
  <c r="O107" i="4"/>
  <c r="N40" i="2"/>
  <c r="V40" i="2" s="1"/>
  <c r="V44" i="2" s="1"/>
  <c r="N41" i="2"/>
  <c r="V41" i="2" s="1"/>
  <c r="W41" i="2" s="1"/>
  <c r="I45" i="2"/>
  <c r="E24" i="18" s="1"/>
  <c r="N42" i="2"/>
  <c r="V42" i="2"/>
  <c r="W42" i="2" s="1"/>
  <c r="N43" i="2"/>
  <c r="V43" i="2" s="1"/>
  <c r="W43" i="2" s="1"/>
  <c r="M45" i="2"/>
  <c r="F24" i="18"/>
  <c r="T25" i="2"/>
  <c r="X48" i="2"/>
  <c r="F26" i="19" s="1"/>
  <c r="AF42" i="2"/>
  <c r="AG42" i="2" s="1"/>
  <c r="F61" i="19"/>
  <c r="F60" i="18"/>
  <c r="F59" i="6"/>
  <c r="E58" i="5"/>
  <c r="F42" i="19"/>
  <c r="F41" i="18"/>
  <c r="F40" i="6"/>
  <c r="E39" i="5"/>
  <c r="E61" i="19"/>
  <c r="E60" i="18"/>
  <c r="E59" i="6"/>
  <c r="D58" i="5"/>
  <c r="M8" i="2"/>
  <c r="I6" i="4" s="1"/>
  <c r="H6" i="4"/>
  <c r="H8" i="4" s="1"/>
  <c r="E59" i="19"/>
  <c r="E58" i="18"/>
  <c r="E57" i="6"/>
  <c r="D56" i="5"/>
  <c r="H34" i="2"/>
  <c r="T34" i="2" s="1"/>
  <c r="M34" i="2"/>
  <c r="E24" i="5" s="1"/>
  <c r="F1" i="19"/>
  <c r="F4" i="19"/>
  <c r="E60" i="19"/>
  <c r="F5" i="19"/>
  <c r="F10" i="19"/>
  <c r="G17" i="2"/>
  <c r="F11" i="6" s="1"/>
  <c r="G19" i="2"/>
  <c r="F13" i="19"/>
  <c r="G23" i="2"/>
  <c r="F14" i="19" s="1"/>
  <c r="V34" i="2"/>
  <c r="P45" i="4" s="1"/>
  <c r="G35" i="2"/>
  <c r="V48" i="2"/>
  <c r="F17" i="19"/>
  <c r="F18" i="19"/>
  <c r="F19" i="19"/>
  <c r="F20" i="19"/>
  <c r="F21" i="19"/>
  <c r="D25" i="19"/>
  <c r="E25" i="19"/>
  <c r="D26" i="19"/>
  <c r="E26" i="19"/>
  <c r="D27" i="19"/>
  <c r="E27" i="19"/>
  <c r="D28" i="19"/>
  <c r="E28" i="19"/>
  <c r="F31" i="19"/>
  <c r="F32" i="19"/>
  <c r="F33" i="19"/>
  <c r="S12" i="3"/>
  <c r="E31" i="5" s="1"/>
  <c r="F34" i="19"/>
  <c r="F37" i="19"/>
  <c r="F38" i="19"/>
  <c r="F39" i="19"/>
  <c r="I20" i="3"/>
  <c r="H16" i="4" s="1"/>
  <c r="I40" i="3"/>
  <c r="N22" i="4" s="1"/>
  <c r="N23" i="4"/>
  <c r="H31" i="4"/>
  <c r="I34" i="4" s="1"/>
  <c r="N31" i="4"/>
  <c r="I38" i="4"/>
  <c r="S38" i="4"/>
  <c r="T38" i="4" s="1"/>
  <c r="I44" i="4"/>
  <c r="S44" i="4" s="1"/>
  <c r="T44" i="4" s="1"/>
  <c r="I50" i="4"/>
  <c r="I54" i="4"/>
  <c r="X34" i="2"/>
  <c r="S27" i="4"/>
  <c r="T27" i="4"/>
  <c r="S28" i="4"/>
  <c r="T28" i="4"/>
  <c r="S29" i="4"/>
  <c r="T29" i="4"/>
  <c r="S30" i="4"/>
  <c r="T30" i="4"/>
  <c r="S31" i="4"/>
  <c r="T31" i="4"/>
  <c r="S32" i="4"/>
  <c r="T32" i="4"/>
  <c r="S33" i="4"/>
  <c r="T33" i="4"/>
  <c r="S35" i="4"/>
  <c r="T35" i="4"/>
  <c r="S36" i="4"/>
  <c r="T36" i="4"/>
  <c r="S37" i="4"/>
  <c r="T37" i="4"/>
  <c r="S39" i="4"/>
  <c r="T39" i="4"/>
  <c r="S40" i="4"/>
  <c r="T40" i="4"/>
  <c r="S41" i="4"/>
  <c r="T41" i="4"/>
  <c r="S43" i="4"/>
  <c r="T43" i="4"/>
  <c r="S45" i="4"/>
  <c r="T45" i="4"/>
  <c r="S46" i="4"/>
  <c r="T46" i="4"/>
  <c r="S47" i="4"/>
  <c r="T47" i="4"/>
  <c r="S49" i="4"/>
  <c r="T49" i="4"/>
  <c r="S51" i="4"/>
  <c r="T51" i="4"/>
  <c r="S52" i="4"/>
  <c r="T52" i="4"/>
  <c r="S53" i="4"/>
  <c r="T53" i="4"/>
  <c r="S55" i="4"/>
  <c r="T55" i="4"/>
  <c r="S56" i="4"/>
  <c r="T56" i="4"/>
  <c r="S57" i="4"/>
  <c r="T57" i="4"/>
  <c r="S58" i="4"/>
  <c r="T58" i="4"/>
  <c r="S59" i="4"/>
  <c r="T59" i="4"/>
  <c r="S60" i="4"/>
  <c r="T60" i="4"/>
  <c r="S61" i="4"/>
  <c r="T61" i="4"/>
  <c r="S62" i="4"/>
  <c r="T62" i="4"/>
  <c r="S63" i="4"/>
  <c r="T63" i="4"/>
  <c r="S64" i="4"/>
  <c r="T64" i="4"/>
  <c r="S65" i="4"/>
  <c r="T65" i="4"/>
  <c r="S66" i="4"/>
  <c r="T66" i="4"/>
  <c r="S67" i="4"/>
  <c r="T67" i="4"/>
  <c r="S68" i="4"/>
  <c r="T68" i="4"/>
  <c r="S69" i="4"/>
  <c r="T69" i="4"/>
  <c r="S70" i="4"/>
  <c r="T70" i="4"/>
  <c r="S71" i="4"/>
  <c r="T71" i="4"/>
  <c r="S73" i="4"/>
  <c r="T73" i="4"/>
  <c r="S75" i="4"/>
  <c r="T75" i="4"/>
  <c r="S77" i="4"/>
  <c r="T77" i="4"/>
  <c r="S78" i="4"/>
  <c r="T78" i="4"/>
  <c r="S79" i="4"/>
  <c r="T79" i="4"/>
  <c r="S80" i="4"/>
  <c r="T80" i="4"/>
  <c r="S81" i="4"/>
  <c r="T81" i="4"/>
  <c r="S82" i="4"/>
  <c r="T82" i="4"/>
  <c r="S83" i="4"/>
  <c r="T83" i="4"/>
  <c r="S84" i="4"/>
  <c r="T84" i="4"/>
  <c r="S85" i="4"/>
  <c r="T85" i="4"/>
  <c r="S86" i="4"/>
  <c r="T86" i="4"/>
  <c r="S88" i="4"/>
  <c r="T88" i="4"/>
  <c r="S90" i="4"/>
  <c r="T90" i="4"/>
  <c r="S91" i="4"/>
  <c r="T91" i="4"/>
  <c r="S92" i="4"/>
  <c r="T92" i="4"/>
  <c r="S94" i="4"/>
  <c r="T94" i="4"/>
  <c r="S95" i="4"/>
  <c r="T95" i="4"/>
  <c r="S96" i="4"/>
  <c r="T96" i="4"/>
  <c r="S97" i="4"/>
  <c r="T97" i="4"/>
  <c r="S98" i="4"/>
  <c r="T98" i="4"/>
  <c r="S99" i="4"/>
  <c r="T99" i="4"/>
  <c r="S101" i="4"/>
  <c r="T101" i="4"/>
  <c r="S102" i="4"/>
  <c r="T102" i="4"/>
  <c r="S103" i="4"/>
  <c r="T103" i="4"/>
  <c r="S104" i="4"/>
  <c r="T104" i="4"/>
  <c r="S105" i="4"/>
  <c r="T105" i="4"/>
  <c r="S106" i="4"/>
  <c r="T106" i="4"/>
  <c r="S107" i="4"/>
  <c r="T107" i="4"/>
  <c r="S109" i="4"/>
  <c r="T109" i="4" s="1"/>
  <c r="S110" i="4"/>
  <c r="T110" i="4" s="1"/>
  <c r="S111" i="4"/>
  <c r="T111" i="4" s="1"/>
  <c r="S112" i="4"/>
  <c r="T112" i="4" s="1"/>
  <c r="S113" i="4"/>
  <c r="T113" i="4" s="1"/>
  <c r="S114" i="4"/>
  <c r="T114" i="4" s="1"/>
  <c r="S115" i="4"/>
  <c r="T115" i="4" s="1"/>
  <c r="S117" i="4"/>
  <c r="T117" i="4" s="1"/>
  <c r="S118" i="4"/>
  <c r="T118" i="4" s="1"/>
  <c r="S119" i="4"/>
  <c r="T119" i="4" s="1"/>
  <c r="S120" i="4"/>
  <c r="T120" i="4" s="1"/>
  <c r="S121" i="4"/>
  <c r="T121" i="4" s="1"/>
  <c r="S122" i="4"/>
  <c r="T122" i="4" s="1"/>
  <c r="S123" i="4"/>
  <c r="T123" i="4" s="1"/>
  <c r="S126" i="4"/>
  <c r="T126" i="4" s="1"/>
  <c r="S127" i="4"/>
  <c r="T127" i="4" s="1"/>
  <c r="S128" i="4"/>
  <c r="T128" i="4" s="1"/>
  <c r="S129" i="4"/>
  <c r="T129" i="4" s="1"/>
  <c r="S130" i="4"/>
  <c r="T130" i="4" s="1"/>
  <c r="S131" i="4"/>
  <c r="T131" i="4" s="1"/>
  <c r="S133" i="4"/>
  <c r="T133" i="4" s="1"/>
  <c r="S134" i="4"/>
  <c r="T134" i="4" s="1"/>
  <c r="S11" i="4"/>
  <c r="T11" i="4"/>
  <c r="S12" i="4"/>
  <c r="T12" i="4"/>
  <c r="S13" i="4"/>
  <c r="T13" i="4"/>
  <c r="S14" i="4"/>
  <c r="T14" i="4"/>
  <c r="S15" i="4"/>
  <c r="T15" i="4"/>
  <c r="S17" i="4"/>
  <c r="T17" i="4"/>
  <c r="S18" i="4"/>
  <c r="T18" i="4"/>
  <c r="S19" i="4"/>
  <c r="T19" i="4"/>
  <c r="S20" i="4"/>
  <c r="T20" i="4"/>
  <c r="S21" i="4"/>
  <c r="T21" i="4"/>
  <c r="S23" i="4"/>
  <c r="T23" i="4"/>
  <c r="S24" i="4"/>
  <c r="T24" i="4"/>
  <c r="S25" i="4"/>
  <c r="T25" i="4"/>
  <c r="S26" i="4"/>
  <c r="T26" i="4"/>
  <c r="T135" i="4"/>
  <c r="B54" i="19"/>
  <c r="E58" i="19"/>
  <c r="F1" i="18"/>
  <c r="F4" i="18"/>
  <c r="E59" i="18"/>
  <c r="F5" i="18"/>
  <c r="F10" i="18"/>
  <c r="F17" i="18"/>
  <c r="F18" i="18"/>
  <c r="F19" i="18"/>
  <c r="F20" i="18"/>
  <c r="F21" i="18"/>
  <c r="D25" i="18"/>
  <c r="E25" i="18"/>
  <c r="D26" i="18"/>
  <c r="E26" i="18"/>
  <c r="F26" i="18"/>
  <c r="D27" i="18"/>
  <c r="E27" i="18"/>
  <c r="F30" i="18"/>
  <c r="F31" i="18"/>
  <c r="F32" i="18"/>
  <c r="F33" i="18"/>
  <c r="F36" i="18"/>
  <c r="F37" i="18"/>
  <c r="F38" i="18"/>
  <c r="B53" i="18"/>
  <c r="E57" i="18"/>
  <c r="F1" i="6"/>
  <c r="F4" i="6"/>
  <c r="E58" i="6"/>
  <c r="F5" i="6"/>
  <c r="F10" i="6"/>
  <c r="F17" i="6"/>
  <c r="F18" i="6"/>
  <c r="F19" i="6"/>
  <c r="F20" i="6"/>
  <c r="F21" i="6"/>
  <c r="D25" i="6"/>
  <c r="E25" i="6"/>
  <c r="D26" i="6"/>
  <c r="E26" i="6"/>
  <c r="F29" i="6"/>
  <c r="F30" i="6"/>
  <c r="F31" i="6"/>
  <c r="F32" i="6"/>
  <c r="F35" i="6"/>
  <c r="F36" i="6"/>
  <c r="F37" i="6"/>
  <c r="B52" i="6"/>
  <c r="E56" i="6"/>
  <c r="E1" i="5"/>
  <c r="B3" i="5"/>
  <c r="E4" i="5"/>
  <c r="D57" i="5"/>
  <c r="E5" i="5"/>
  <c r="E10" i="5"/>
  <c r="E17" i="5"/>
  <c r="E18" i="5"/>
  <c r="E19" i="5"/>
  <c r="E20" i="5"/>
  <c r="E21" i="5"/>
  <c r="E28" i="5"/>
  <c r="E29" i="5"/>
  <c r="E30" i="5"/>
  <c r="E34" i="5"/>
  <c r="E35" i="5"/>
  <c r="E36" i="5"/>
  <c r="B51" i="5"/>
  <c r="D55" i="5"/>
  <c r="K2" i="4"/>
  <c r="S3" i="4"/>
  <c r="E16" i="4"/>
  <c r="E22" i="4"/>
  <c r="E28" i="4"/>
  <c r="H30" i="4"/>
  <c r="F66" i="4"/>
  <c r="F69" i="4"/>
  <c r="F70" i="4"/>
  <c r="G78" i="4"/>
  <c r="F80" i="4"/>
  <c r="F82" i="4"/>
  <c r="F84" i="4"/>
  <c r="F85" i="4"/>
  <c r="F94" i="4"/>
  <c r="F102" i="4"/>
  <c r="M3" i="3"/>
  <c r="I37" i="3"/>
  <c r="G38" i="3"/>
  <c r="G40" i="3"/>
  <c r="G41" i="3"/>
  <c r="O3" i="2"/>
  <c r="I24" i="2"/>
  <c r="I25" i="2"/>
  <c r="I26" i="2"/>
  <c r="I27" i="2"/>
  <c r="G28" i="2"/>
  <c r="I29" i="2"/>
  <c r="I30" i="2"/>
  <c r="G33" i="2"/>
  <c r="H38" i="2"/>
  <c r="J42" i="2"/>
  <c r="E14" i="5"/>
  <c r="F27" i="19"/>
  <c r="F27" i="18"/>
  <c r="F28" i="19"/>
  <c r="F25" i="18"/>
  <c r="F25" i="19"/>
  <c r="S132" i="4"/>
  <c r="T132" i="4" s="1"/>
  <c r="E12" i="5"/>
  <c r="M42" i="2"/>
  <c r="T45" i="2"/>
  <c r="M41" i="2"/>
  <c r="M43" i="2"/>
  <c r="M40" i="2"/>
  <c r="G98" i="4"/>
  <c r="O98" i="4" s="1"/>
  <c r="F12" i="19"/>
  <c r="F12" i="6"/>
  <c r="F12" i="18"/>
  <c r="G23" i="4"/>
  <c r="I87" i="4"/>
  <c r="S87" i="4"/>
  <c r="T87" i="4" s="1"/>
  <c r="F83" i="4"/>
  <c r="G91" i="4"/>
  <c r="O91" i="4"/>
  <c r="Y52" i="2"/>
  <c r="F24" i="6"/>
  <c r="F25" i="6"/>
  <c r="F24" i="19"/>
  <c r="P115" i="4"/>
  <c r="I116" i="4" s="1"/>
  <c r="L36" i="2"/>
  <c r="I89" i="4"/>
  <c r="O89" i="4" s="1"/>
  <c r="O87" i="4"/>
  <c r="O94" i="4" s="1"/>
  <c r="E16" i="5"/>
  <c r="P68" i="4"/>
  <c r="I74" i="4"/>
  <c r="S74" i="4" s="1"/>
  <c r="T74" i="4" s="1"/>
  <c r="P67" i="4"/>
  <c r="F68" i="4"/>
  <c r="I93" i="4"/>
  <c r="O93" i="4" s="1"/>
  <c r="H22" i="4"/>
  <c r="O20" i="4" s="1"/>
  <c r="Q20" i="4" s="1"/>
  <c r="P70" i="4"/>
  <c r="I72" i="4" s="1"/>
  <c r="I100" i="4"/>
  <c r="O100" i="4" s="1"/>
  <c r="I108" i="4"/>
  <c r="O108" i="4" s="1"/>
  <c r="S22" i="4"/>
  <c r="T22" i="4" s="1"/>
  <c r="H32" i="4"/>
  <c r="G59" i="4"/>
  <c r="F13" i="6"/>
  <c r="S50" i="4"/>
  <c r="T50" i="4"/>
  <c r="O54" i="4"/>
  <c r="S54" i="4"/>
  <c r="T54" i="4"/>
  <c r="F14" i="18"/>
  <c r="F14" i="6"/>
  <c r="B54" i="18"/>
  <c r="B55" i="18"/>
  <c r="E13" i="5"/>
  <c r="I42" i="4"/>
  <c r="Q106" i="4"/>
  <c r="F49" i="19" s="1"/>
  <c r="F13" i="18"/>
  <c r="B53" i="5"/>
  <c r="F11" i="19"/>
  <c r="B56" i="19"/>
  <c r="O42" i="4"/>
  <c r="S42" i="4"/>
  <c r="T42" i="4"/>
  <c r="F47" i="6"/>
  <c r="F9" i="18"/>
  <c r="F9" i="6"/>
  <c r="F9" i="19"/>
  <c r="E9" i="5"/>
  <c r="F6" i="6"/>
  <c r="F6" i="19"/>
  <c r="F6" i="18"/>
  <c r="E6" i="5"/>
  <c r="F16" i="6" l="1"/>
  <c r="N47" i="4"/>
  <c r="F15" i="18"/>
  <c r="I125" i="4"/>
  <c r="S125" i="4" s="1"/>
  <c r="T125" i="4" s="1"/>
  <c r="F15" i="6"/>
  <c r="F15" i="19"/>
  <c r="E15" i="5"/>
  <c r="I124" i="4"/>
  <c r="N52" i="4"/>
  <c r="F16" i="19"/>
  <c r="N41" i="4"/>
  <c r="F16" i="18"/>
  <c r="O9" i="4"/>
  <c r="S8" i="4"/>
  <c r="T8" i="4" s="1"/>
  <c r="F44" i="18"/>
  <c r="F43" i="6"/>
  <c r="E42" i="5"/>
  <c r="F45" i="19"/>
  <c r="S116" i="4"/>
  <c r="T116" i="4" s="1"/>
  <c r="O116" i="4"/>
  <c r="Q116" i="4" s="1"/>
  <c r="O16" i="4"/>
  <c r="Q16" i="4" s="1"/>
  <c r="S16" i="4"/>
  <c r="T16" i="4" s="1"/>
  <c r="S34" i="4"/>
  <c r="T34" i="4" s="1"/>
  <c r="O34" i="4"/>
  <c r="Q34" i="4" s="1"/>
  <c r="AG43" i="2"/>
  <c r="O72" i="4"/>
  <c r="S72" i="4"/>
  <c r="T72" i="4" s="1"/>
  <c r="P23" i="4"/>
  <c r="B3" i="6"/>
  <c r="P43" i="4"/>
  <c r="O22" i="4"/>
  <c r="P22" i="4" s="1"/>
  <c r="B3" i="18"/>
  <c r="B3" i="19"/>
  <c r="O23" i="4"/>
  <c r="AB41" i="2"/>
  <c r="AB42" i="2"/>
  <c r="W38" i="2"/>
  <c r="F51" i="18"/>
  <c r="E49" i="5"/>
  <c r="F52" i="19"/>
  <c r="F50" i="6"/>
  <c r="E11" i="5"/>
  <c r="S93" i="4"/>
  <c r="T93" i="4" s="1"/>
  <c r="F81" i="4"/>
  <c r="H41" i="2"/>
  <c r="F26" i="6"/>
  <c r="K37" i="3"/>
  <c r="D24" i="5"/>
  <c r="I48" i="4"/>
  <c r="I76" i="4"/>
  <c r="J40" i="2"/>
  <c r="G21" i="3"/>
  <c r="G37" i="3"/>
  <c r="K40" i="3"/>
  <c r="F48" i="18"/>
  <c r="B52" i="5"/>
  <c r="S108" i="4"/>
  <c r="T108" i="4" s="1"/>
  <c r="O74" i="4"/>
  <c r="S89" i="4"/>
  <c r="T89" i="4" s="1"/>
  <c r="H40" i="2"/>
  <c r="D24" i="19"/>
  <c r="K41" i="3"/>
  <c r="E24" i="19"/>
  <c r="Y50" i="2"/>
  <c r="J43" i="2"/>
  <c r="H10" i="4"/>
  <c r="D24" i="18"/>
  <c r="K21" i="3"/>
  <c r="J41" i="2"/>
  <c r="B53" i="6"/>
  <c r="S100" i="4"/>
  <c r="T100" i="4" s="1"/>
  <c r="H9" i="4"/>
  <c r="K38" i="3"/>
  <c r="H43" i="2"/>
  <c r="F11" i="18"/>
  <c r="D24" i="6"/>
  <c r="E24" i="6"/>
  <c r="H42" i="2"/>
  <c r="F46" i="19" l="1"/>
  <c r="E43" i="5"/>
  <c r="F44" i="6"/>
  <c r="F45" i="18"/>
  <c r="O124" i="4"/>
  <c r="Q124" i="4" s="1"/>
  <c r="S124" i="4"/>
  <c r="T124" i="4" s="1"/>
  <c r="E41" i="5"/>
  <c r="F43" i="18"/>
  <c r="F44" i="19"/>
  <c r="F42" i="6"/>
  <c r="O138" i="4"/>
  <c r="Q11" i="4"/>
  <c r="F50" i="19"/>
  <c r="E47" i="5"/>
  <c r="F48" i="6"/>
  <c r="F49" i="18"/>
  <c r="O11" i="4"/>
  <c r="S10" i="4"/>
  <c r="T10" i="4" s="1"/>
  <c r="O76" i="4"/>
  <c r="P96" i="4" s="1"/>
  <c r="Q96" i="4" s="1"/>
  <c r="S76" i="4"/>
  <c r="T76" i="4" s="1"/>
  <c r="O48" i="4"/>
  <c r="Q54" i="4" s="1"/>
  <c r="G60" i="4"/>
  <c r="S48" i="4"/>
  <c r="T48" i="4" s="1"/>
  <c r="S9" i="4"/>
  <c r="T9" i="4" s="1"/>
  <c r="T138" i="4" s="1"/>
  <c r="I135" i="4" s="1"/>
  <c r="O10" i="4"/>
  <c r="F51" i="6" l="1"/>
  <c r="E50" i="5"/>
  <c r="F52" i="18"/>
  <c r="F53" i="19"/>
  <c r="F48" i="19"/>
  <c r="E45" i="5"/>
  <c r="F47" i="18"/>
  <c r="F46" i="6"/>
  <c r="F47" i="19"/>
  <c r="E44" i="5"/>
  <c r="F46" i="18"/>
  <c r="F45" i="6"/>
  <c r="F51" i="19"/>
  <c r="F50" i="18"/>
  <c r="E48" i="5"/>
  <c r="F49" i="6"/>
  <c r="F41" i="6"/>
  <c r="F43" i="19"/>
  <c r="E40" i="5"/>
  <c r="F42" i="18"/>
</calcChain>
</file>

<file path=xl/comments1.xml><?xml version="1.0" encoding="utf-8"?>
<comments xmlns="http://schemas.openxmlformats.org/spreadsheetml/2006/main">
  <authors>
    <author>Chen, Yi</author>
    <author>cd1885</author>
  </authors>
  <commentList>
    <comment ref="G11" authorId="0" shapeId="0">
      <text>
        <r>
          <rPr>
            <sz val="10"/>
            <color indexed="81"/>
            <rFont val="Arial"/>
            <family val="2"/>
          </rPr>
          <t>Enter "N/A" if the analysis is for manufacturing a new instrument.</t>
        </r>
      </text>
    </comment>
    <comment ref="G12" authorId="0" shapeId="0">
      <text>
        <r>
          <rPr>
            <sz val="10"/>
            <color indexed="81"/>
            <rFont val="Arial"/>
            <family val="2"/>
          </rPr>
          <t>Enter 'N/A' if the analysis is for conversion.</t>
        </r>
        <r>
          <rPr>
            <sz val="9"/>
            <color indexed="81"/>
            <rFont val="Tahoma"/>
            <family val="2"/>
          </rPr>
          <t xml:space="preserve">
</t>
        </r>
      </text>
    </comment>
    <comment ref="G13" authorId="1" shapeId="0">
      <text>
        <r>
          <rPr>
            <sz val="10"/>
            <color indexed="81"/>
            <rFont val="Tahoma"/>
            <family val="2"/>
          </rPr>
          <t>If certificate has a specific expiry date, or has a cancellation or withdrawal date, enter it here. Otherwise (where the certificate only has a 'due for review' date or has no review date stated)  enter 9/9/9999 here - check first to ensure the certificate has not been cancelled or withdrawn.</t>
        </r>
      </text>
    </comment>
    <comment ref="F17" authorId="1" shapeId="0">
      <text>
        <r>
          <rPr>
            <b/>
            <sz val="10"/>
            <color indexed="81"/>
            <rFont val="Tahoma"/>
            <family val="2"/>
          </rPr>
          <t>See note at bottom of 6B0 Analysis sheet or report sheet - Conversion with load cell replacement may not be possible.</t>
        </r>
      </text>
    </comment>
  </commentList>
</comments>
</file>

<file path=xl/comments2.xml><?xml version="1.0" encoding="utf-8"?>
<comments xmlns="http://schemas.openxmlformats.org/spreadsheetml/2006/main">
  <authors>
    <author>cd1885</author>
    <author>Chen, Yi</author>
  </authors>
  <commentList>
    <comment ref="I8" authorId="0" shapeId="0">
      <text>
        <r>
          <rPr>
            <sz val="10"/>
            <color indexed="81"/>
            <rFont val="Arial"/>
            <family val="2"/>
          </rPr>
          <t>If certificate has a specific expiry date, or has a cancellation or withdrawal date, enter it here. Otherwise (where the certificate only has a 'due for review' date or has no review date stated)  enter 9/9/9999 here - check first to ensure the certificate has not been cancelled or withdrawn.</t>
        </r>
      </text>
    </comment>
    <comment ref="I27" authorId="0" shapeId="0">
      <text>
        <r>
          <rPr>
            <sz val="10"/>
            <color indexed="81"/>
            <rFont val="Arial"/>
            <family val="2"/>
          </rPr>
          <t>If certificate has a specific expiry date, or has a cancellation or withdrawal date, enter it here. Otherwise (where the certificate only has a 'due for review' date or has no review date stated)  enter 9/9/9999 here - check first to ensure the certificate has not been cancelled or withdrawn.</t>
        </r>
      </text>
    </comment>
    <comment ref="I31" authorId="1" shapeId="0">
      <text>
        <r>
          <rPr>
            <sz val="10"/>
            <color indexed="81"/>
            <rFont val="Arial"/>
            <family val="2"/>
          </rPr>
          <t xml:space="preserve">To be used with digital load cells, the number of verification scale intervals (VSI) of the indicator is equal to the number of VSI of the digital load cell used. </t>
        </r>
      </text>
    </comment>
  </commentList>
</comments>
</file>

<file path=xl/sharedStrings.xml><?xml version="1.0" encoding="utf-8"?>
<sst xmlns="http://schemas.openxmlformats.org/spreadsheetml/2006/main" count="466" uniqueCount="271">
  <si>
    <t>INSTRUMENT SPECIFICATIONS</t>
  </si>
  <si>
    <t>Report No.:</t>
  </si>
  <si>
    <t>Name of person carrying out analysis:</t>
  </si>
  <si>
    <t>Position of person carrying out analysis:</t>
  </si>
  <si>
    <t>Organisation:</t>
  </si>
  <si>
    <t>Make:</t>
  </si>
  <si>
    <t>Model:</t>
  </si>
  <si>
    <t>Operation:</t>
  </si>
  <si>
    <t>Instrument type:</t>
  </si>
  <si>
    <t>Capacity type:</t>
  </si>
  <si>
    <t>Receptor type:</t>
  </si>
  <si>
    <t>Number of load cells:</t>
  </si>
  <si>
    <t>inst_R_calcs</t>
  </si>
  <si>
    <t>Lever ratio:</t>
  </si>
  <si>
    <t>H/J ratio:</t>
  </si>
  <si>
    <t>Dead load:</t>
  </si>
  <si>
    <t>kg</t>
  </si>
  <si>
    <t>Dead load range required ?</t>
  </si>
  <si>
    <t>Platform length:</t>
  </si>
  <si>
    <t>m</t>
  </si>
  <si>
    <t>Platform width:</t>
  </si>
  <si>
    <t>Single range</t>
  </si>
  <si>
    <t>No. e factor (SR)</t>
  </si>
  <si>
    <t>Inst_sing_max_factor</t>
  </si>
  <si>
    <t>Inst_sing_e_factor</t>
  </si>
  <si>
    <t>Maximum Capacity:</t>
  </si>
  <si>
    <t>e:</t>
  </si>
  <si>
    <t>No. e</t>
  </si>
  <si>
    <t>Multi-interval or multiple range</t>
  </si>
  <si>
    <t>from</t>
  </si>
  <si>
    <t>to</t>
  </si>
  <si>
    <t>e</t>
  </si>
  <si>
    <t>Range 1:</t>
  </si>
  <si>
    <t>e1:</t>
  </si>
  <si>
    <t>Range 2:</t>
  </si>
  <si>
    <t>e2:</t>
  </si>
  <si>
    <t>inst_e3_factor =</t>
  </si>
  <si>
    <t>Range 3:</t>
  </si>
  <si>
    <t>e3:</t>
  </si>
  <si>
    <t>inst_e4_factor =</t>
  </si>
  <si>
    <t>Range 4:</t>
  </si>
  <si>
    <t>e4:</t>
  </si>
  <si>
    <t>No. e factor (MR)</t>
  </si>
  <si>
    <t xml:space="preserve">  = no. ranges/intervals (ie., inst_maxer)</t>
  </si>
  <si>
    <t>Range units:</t>
  </si>
  <si>
    <t>e units:</t>
  </si>
  <si>
    <t>Inst_multi_max_factor</t>
  </si>
  <si>
    <t>Inst_multi_e_factor</t>
  </si>
  <si>
    <t>LOAD CELL SPECIFICATIONS</t>
  </si>
  <si>
    <t>Supplementary Certificate of Approval no.:</t>
  </si>
  <si>
    <t>S</t>
  </si>
  <si>
    <t>cell m factor</t>
  </si>
  <si>
    <t>Maximum capacity:</t>
  </si>
  <si>
    <t>Maximum number of verification scale intervals:</t>
  </si>
  <si>
    <t>grads</t>
  </si>
  <si>
    <t>Minimum value of verification scale interval:</t>
  </si>
  <si>
    <t>Minimum deadload output return:</t>
  </si>
  <si>
    <t>Output rating (nominal):</t>
  </si>
  <si>
    <t>mV/V</t>
  </si>
  <si>
    <t>Input impedance:</t>
  </si>
  <si>
    <t>W</t>
  </si>
  <si>
    <t>Supply voltage (AC or DC):</t>
  </si>
  <si>
    <t>V</t>
  </si>
  <si>
    <t>INDICATOR SPECIFICATIONS</t>
  </si>
  <si>
    <t>Minimum sensitivity:</t>
  </si>
  <si>
    <r>
      <t>m</t>
    </r>
    <r>
      <rPr>
        <sz val="10"/>
        <rFont val="Arial"/>
      </rPr>
      <t>V/grad</t>
    </r>
  </si>
  <si>
    <t>Excitation voltage:</t>
  </si>
  <si>
    <t>Minimum load impedance:</t>
  </si>
  <si>
    <t>Maximum excitation current:</t>
  </si>
  <si>
    <t>mA</t>
  </si>
  <si>
    <t>6B/0 ANALYSIS</t>
  </si>
  <si>
    <t>A.</t>
  </si>
  <si>
    <t>result</t>
  </si>
  <si>
    <t>Instrument:</t>
  </si>
  <si>
    <t>Indicator:</t>
  </si>
  <si>
    <t>B.</t>
  </si>
  <si>
    <t>Linearisation</t>
  </si>
  <si>
    <t>C.</t>
  </si>
  <si>
    <t>Suitability of indicator</t>
  </si>
  <si>
    <t>Dead Load</t>
  </si>
  <si>
    <t>Dead load of platform =</t>
  </si>
  <si>
    <t>% applied</t>
  </si>
  <si>
    <t>Dead load per cell as % of load cell max. cap. =</t>
  </si>
  <si>
    <t>%</t>
  </si>
  <si>
    <t>Minimum permissable dead load =</t>
  </si>
  <si>
    <t>RESULT:</t>
  </si>
  <si>
    <t>(i)  For 6 or more cells:</t>
  </si>
  <si>
    <t>maxdl_i</t>
  </si>
  <si>
    <t xml:space="preserve">     RESULT:</t>
  </si>
  <si>
    <t>multi max</t>
  </si>
  <si>
    <t>(ii)  For up to 5 load cells or for hopper weighing instruments:</t>
  </si>
  <si>
    <t>max_used</t>
  </si>
  <si>
    <t>in kg, ie., adusted</t>
  </si>
  <si>
    <t>max dl_ii</t>
  </si>
  <si>
    <t>(iii)  For lever / load cell instruments:</t>
  </si>
  <si>
    <t>max dl_iii</t>
  </si>
  <si>
    <t>Dead load range:</t>
  </si>
  <si>
    <t>Minimum required dead load:</t>
  </si>
  <si>
    <t>Maximum permissable dead load:</t>
  </si>
  <si>
    <t>Number of Verification Scale Intervals for the Instrument</t>
  </si>
  <si>
    <t>6.3.1</t>
  </si>
  <si>
    <t>Single range:</t>
  </si>
  <si>
    <t>No. e instrument:</t>
  </si>
  <si>
    <t>Max no. e load cell(s):</t>
  </si>
  <si>
    <t>Max no. e indicator:</t>
  </si>
  <si>
    <t>No. e for instrument / load cell / indicator combination OK ?</t>
  </si>
  <si>
    <t>6.3.2</t>
  </si>
  <si>
    <t>No. e1 instrument:</t>
  </si>
  <si>
    <t>No. e2 instrument:</t>
  </si>
  <si>
    <t>No. e3 instrument:</t>
  </si>
  <si>
    <t>No. e4 instrument:</t>
  </si>
  <si>
    <t>Complies with e1 &lt; e2 &lt; e3, …..</t>
  </si>
  <si>
    <t>6.3.2.1</t>
  </si>
  <si>
    <t>Multiple range</t>
  </si>
  <si>
    <t>sum</t>
  </si>
  <si>
    <t>Dead load return requirement:</t>
  </si>
  <si>
    <t>6.3.2.2</t>
  </si>
  <si>
    <t>Multi-interval</t>
  </si>
  <si>
    <t>Value_e_used</t>
  </si>
  <si>
    <t>Minimum Sensitivity of the Digital Indicator</t>
  </si>
  <si>
    <t>Load Cell Impedance</t>
  </si>
  <si>
    <t>OVERALL RESULT:</t>
  </si>
  <si>
    <t>SUM</t>
  </si>
  <si>
    <t>ANALYSIS REPORT ON 6B/0 CALCULATIONS</t>
  </si>
  <si>
    <t xml:space="preserve">Submittor: </t>
  </si>
  <si>
    <t>Basework</t>
  </si>
  <si>
    <t xml:space="preserve">Model type: </t>
  </si>
  <si>
    <t xml:space="preserve">Operation:                    </t>
  </si>
  <si>
    <t>Type of instrument:</t>
  </si>
  <si>
    <t>Type of receptor:</t>
  </si>
  <si>
    <t>Instrument maximum capacity (kg):</t>
  </si>
  <si>
    <t xml:space="preserve">Platform length (m): </t>
  </si>
  <si>
    <t>Platform width (m):</t>
  </si>
  <si>
    <t xml:space="preserve">Number of loadcells (N): </t>
  </si>
  <si>
    <t xml:space="preserve">Lever ratio (R): </t>
  </si>
  <si>
    <t>Loadcell</t>
  </si>
  <si>
    <t>Maximum capacity (kg):</t>
  </si>
  <si>
    <t>Indicator</t>
  </si>
  <si>
    <t>RESULTS OF CALCULATIONS</t>
  </si>
  <si>
    <t>Certificate expiry dates:</t>
  </si>
  <si>
    <t>Linearisation:</t>
  </si>
  <si>
    <t>Suitability of indicator for type and no. of ranges:</t>
  </si>
  <si>
    <t>Dead Load:</t>
  </si>
  <si>
    <t>Number of VSI for the instrument:</t>
  </si>
  <si>
    <t>Minimum value of VSI for the Load cell(s):</t>
  </si>
  <si>
    <t>Minimum sensitivity of the indicator:</t>
  </si>
  <si>
    <t>Date:</t>
  </si>
  <si>
    <t>operation</t>
  </si>
  <si>
    <t>instrument type</t>
  </si>
  <si>
    <t>t</t>
  </si>
  <si>
    <t>Full load cell</t>
  </si>
  <si>
    <t>Conversion of existing instrument - replace load cells</t>
  </si>
  <si>
    <t>Lever / load cell</t>
  </si>
  <si>
    <t>Conversion of existing instrument - replace indicator</t>
  </si>
  <si>
    <t>Conversion of existing instrument - replace cells and  indicator</t>
  </si>
  <si>
    <t>range type</t>
  </si>
  <si>
    <t>Yes</t>
  </si>
  <si>
    <t>No</t>
  </si>
  <si>
    <t>range type 2</t>
  </si>
  <si>
    <t>receptor type</t>
  </si>
  <si>
    <t>Platform</t>
  </si>
  <si>
    <t>Hopper</t>
  </si>
  <si>
    <t>Min. value of VSI for the load cell ≤ (Value VSI for Instrument) / R * sqrt(N)</t>
  </si>
  <si>
    <t>Complies with DR ≤ 0.5*e1/R*sqrt(N):</t>
  </si>
  <si>
    <t>Complies with DR ≤ e1/R*sqrt(N)</t>
  </si>
  <si>
    <t>mass units (t=1, kg =2)</t>
  </si>
  <si>
    <t>Ver 7</t>
  </si>
  <si>
    <t>Date</t>
  </si>
  <si>
    <t>By</t>
  </si>
  <si>
    <t>C Davies</t>
  </si>
  <si>
    <t>Reason</t>
  </si>
  <si>
    <t>Corrected error in sheet "6B0 Analysis" cell G106, in which the 0.5 factor was on the wrong side of the equation.</t>
  </si>
  <si>
    <t>New Version</t>
  </si>
  <si>
    <t>Ver 8</t>
  </si>
  <si>
    <t>NATIONAL MEASUREMENT INSTITUTE</t>
  </si>
  <si>
    <t>S Dignan</t>
  </si>
  <si>
    <t>Ver 9</t>
  </si>
  <si>
    <t>Corrected error in sheet "6B0 Analysis" cell I132, in which brackets around (ind_max_I*0.001) were missing.</t>
  </si>
  <si>
    <t>Changed references to National Standards Commission to National Measurement Institute &amp; NSC to NMI/NSC.</t>
  </si>
  <si>
    <t>Ver 10</t>
  </si>
  <si>
    <t>Changed format of Date in sheet "Instrument specs" cell G13 from system settings format to 'short date' (eg., 12/10/05) format.  This prevents display of '####' when a long date format is default in system settings</t>
  </si>
  <si>
    <t>Ver 11</t>
  </si>
  <si>
    <t>Fixed issue with protectiuon on combo boxes which prevented changes being made</t>
  </si>
  <si>
    <t>Ver 12</t>
  </si>
  <si>
    <t xml:space="preserve">     Max. cap. of load cell &gt;= (max. cap. of instrument + dead load) / (N-2)*H/J</t>
  </si>
  <si>
    <t xml:space="preserve">     Max. cap. of load cell &gt;= (max. cap. of instrument + dead load) / N</t>
  </si>
  <si>
    <t xml:space="preserve">     Max. cap. of load cell &gt;= (max. cap. of instrument/R) + dead load</t>
  </si>
  <si>
    <t>Min. Sens. &lt;= (Exc.V. x Load cell sensitivity x Load ratio) / No. VSI for inst.</t>
  </si>
  <si>
    <t>Load cell impedance &gt;= Vexc x N / (Max. Exc Current)</t>
  </si>
  <si>
    <t>Altered formulas so that &gt; or &lt; conditions are &gt;= or &lt;= conditions (in 6.1, 6.2, 6.5, 6.6).</t>
  </si>
  <si>
    <t>This spreadsheet has been provided by the Commonwealth free of charge for the purpose of facilitating the 6B/0 analysis.</t>
  </si>
  <si>
    <t>Every effort has been made to ensure the accuracy of this spreadsheet.  However, the Commonwealth does not guarantee, and accepts no legal liability whatsoever arising from or connected to, the accuracy, reliability, currency or completeness of any material contained within this spreadsheet.</t>
  </si>
  <si>
    <t>The Commonwealth recommends that users exercise their own skill and care with respect to their use of this spreadsheet and that users carefully evaluate the accuracy, currency, completeness and relevance of this spreadsheet for their purposes.</t>
  </si>
  <si>
    <t>The Commonwealth disclaims to the extent permitted by law, all liability (including negligence) for claims of losses, expenses, damages and costs the user may incur as a result of the use of this spreadsheet.</t>
  </si>
  <si>
    <t>This spreadsheet is not a substitute for independent professional advice and users should obtain any appropriate professional advice relevant to their particular circumstances.</t>
  </si>
  <si>
    <t>Ver 13</t>
  </si>
  <si>
    <t>Update front sheet by inserting new terms and conditions of use.</t>
  </si>
  <si>
    <t>Ver 14</t>
  </si>
  <si>
    <t>Note: 'Acceptable' is in regard to calculations included in this spreadsheet only. All requirements of 6B/0 need to be considered.</t>
  </si>
  <si>
    <t>Added Notes regarding the meaning of 'Acceptable'. Other aspects of 6/B0 need to be considered.</t>
  </si>
  <si>
    <t>Y Chen</t>
  </si>
  <si>
    <t>Ver 15</t>
  </si>
  <si>
    <t>Altered formulas so that &gt;= or &lt;= conditions are &gt; or &lt; conditions (in 6.3.1).</t>
  </si>
  <si>
    <t>Ver 16</t>
  </si>
  <si>
    <t>Added comments to 'Expiry Dates' fields, to address entry of 'Due for Review' dates.</t>
  </si>
  <si>
    <t>Ver 17</t>
  </si>
  <si>
    <t>Added TODAY() in Date area and Name, Position, Company at bottom of each page.</t>
  </si>
  <si>
    <t>This space for user notes (these are not included in reports).</t>
  </si>
  <si>
    <t>for date of:</t>
  </si>
  <si>
    <t>Ver 18</t>
  </si>
  <si>
    <t>Added Date field on "Instrument specs" sheet, added notes for checking against todays date. Space for notes added.</t>
  </si>
  <si>
    <t xml:space="preserve">Name:           </t>
  </si>
  <si>
    <t xml:space="preserve">Position:        </t>
  </si>
  <si>
    <t xml:space="preserve">Company:      </t>
  </si>
  <si>
    <t>Complies with table 3 of NMI R76-1 for class 3  instruments ?</t>
  </si>
  <si>
    <t>Complies with NMI R76-1 Table 4:</t>
  </si>
  <si>
    <t>Table4_Max1_div_e2 =</t>
  </si>
  <si>
    <t>Table4_Max2_div_e3 =</t>
  </si>
  <si>
    <t>Table4_Max3_div_e4 =</t>
  </si>
  <si>
    <t>R76-1 Table 4 calculation</t>
  </si>
  <si>
    <t>Inst_multi_no_e_greatest</t>
  </si>
  <si>
    <t>Inst_multi_no_e_least</t>
  </si>
  <si>
    <t>ei&lt;e(i+1)</t>
  </si>
  <si>
    <t>e1&lt;e2&lt;e3…criteria</t>
  </si>
  <si>
    <t>Ver 19</t>
  </si>
  <si>
    <t>Revised reports &amp; calculations to more clearly show 'failures' related to multi-interval and multiple range DR issues. Added calculations re R76 table 4.</t>
  </si>
  <si>
    <t>Ver 20</t>
  </si>
  <si>
    <t>Platform length (m):</t>
  </si>
  <si>
    <t>Number of loadcells (N):</t>
  </si>
  <si>
    <t>Lever ratio (R):</t>
  </si>
  <si>
    <t>Corrected display of Unit of measurement in sheets Report -2 range, Report - 3 range and Report 4 -range</t>
  </si>
  <si>
    <t>Ver 21</t>
  </si>
  <si>
    <t>load cell output</t>
  </si>
  <si>
    <t>Analogue</t>
  </si>
  <si>
    <t>Digital</t>
  </si>
  <si>
    <t>Output type:</t>
  </si>
  <si>
    <t>36 Bradfield Road, West Lindfield NSW 2070</t>
  </si>
  <si>
    <t>6B/0 ANALYSIS SPREADSHEET</t>
  </si>
  <si>
    <t>This spreadsheet should be used in conjunction with 6B/0.</t>
  </si>
  <si>
    <t>Does load cell require linearisation ?</t>
  </si>
  <si>
    <t>Supplementary Certificate of Approval expiry date:</t>
  </si>
  <si>
    <t>Certificate of Approval expiry date:</t>
  </si>
  <si>
    <t>Manufacture of new instrument</t>
  </si>
  <si>
    <t>Note:  "e" = Verification Scale Interval.</t>
  </si>
  <si>
    <t>(dd/mm/yy)</t>
  </si>
  <si>
    <r>
      <t xml:space="preserve">Date </t>
    </r>
    <r>
      <rPr>
        <sz val="8"/>
        <rFont val="Arial"/>
        <family val="2"/>
      </rPr>
      <t>(dd/mm/yy)</t>
    </r>
    <r>
      <rPr>
        <sz val="10"/>
        <rFont val="Arial"/>
      </rPr>
      <t>:</t>
    </r>
  </si>
  <si>
    <t>Minimum value of VSI for the load cell(s):</t>
  </si>
  <si>
    <t xml:space="preserve">Dead load (kg): </t>
  </si>
  <si>
    <t>Loaded capacity of the load cell(s):</t>
  </si>
  <si>
    <t>Dead load (kg):</t>
  </si>
  <si>
    <t>Instrument verification scale interval (VSI) (kg):</t>
  </si>
  <si>
    <t>Conversion Certificate of Approval no.:</t>
  </si>
  <si>
    <t>Instrument Certificate of Approval no.:</t>
  </si>
  <si>
    <t xml:space="preserve">Conversion Certificate of Approval no.: </t>
  </si>
  <si>
    <t xml:space="preserve">Instrument Certificate of Approval no.: </t>
  </si>
  <si>
    <t>Report no.:</t>
  </si>
  <si>
    <t>Submittor:</t>
  </si>
  <si>
    <t>Submittor :</t>
  </si>
  <si>
    <t>Model type:</t>
  </si>
  <si>
    <t>Multiple range/multi-interval, DR value, etc:</t>
  </si>
  <si>
    <t>Load cell impedance/indicator output current:</t>
  </si>
  <si>
    <t xml:space="preserve">Instrument verification scale interval (VSI) (kg): </t>
  </si>
  <si>
    <t>Loaded capacity of the Load cell(s):</t>
  </si>
  <si>
    <t>Multiple range or multi-interval</t>
  </si>
  <si>
    <t>Minimum Value of Verification Scale Interval for the Load Cell</t>
  </si>
  <si>
    <t>Loaded Capacity of the Load Cell(s)</t>
  </si>
  <si>
    <t>Suitability of Indicator for Type and Number of Ranges Selected</t>
  </si>
  <si>
    <t>Certificate Expiry Dates</t>
  </si>
  <si>
    <t>Load cells:</t>
  </si>
  <si>
    <t>Supplementary Certificate of Approval No.: S</t>
  </si>
  <si>
    <t>Added a selection of analogue or digital load cell in sheet "Cell and Indicator specs", and amended clause 6.5 and 6.6 calculations for the use of digital load cell in sheet "6B Analysis", and added Range 1, Range2 .. in Instrument Specs in sheets "Report - 2 range or interval", "Report - 3 range or interval" and "Report - 4 range or interval", and added instrument specs in sheet "Report - single range"; added warning for less 100 kg in sheet "Instrument specs" cell G35, added new NMI logo in sheet "Cover" and other areas where are identified in the computer template check form for 6B/0 Analysis Spreadsheet v21.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</si>
</sst>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m/d"/>
    <numFmt numFmtId="179" formatCode="mm/dd/yy"/>
    <numFmt numFmtId="182" formatCode="0.0000000000"/>
    <numFmt numFmtId="194" formatCode="dd/mm/yy"/>
    <numFmt numFmtId="198" formatCode="&quot;(&quot;\ General\ &quot;mV/e)&quot;"/>
  </numFmts>
  <fonts count="45">
    <font>
      <sz val="10"/>
      <name val="Arial"/>
    </font>
    <font>
      <b/>
      <sz val="10"/>
      <name val="Arial"/>
    </font>
    <font>
      <i/>
      <sz val="10"/>
      <name val="Arial"/>
    </font>
    <font>
      <sz val="10"/>
      <name val="Arial"/>
      <family val="2"/>
    </font>
    <font>
      <sz val="10"/>
      <name val="Symbol Set SWA"/>
      <family val="1"/>
      <charset val="2"/>
    </font>
    <font>
      <b/>
      <sz val="16"/>
      <name val="Arial"/>
      <family val="2"/>
    </font>
    <font>
      <sz val="8"/>
      <name val="Arial"/>
      <family val="2"/>
    </font>
    <font>
      <u/>
      <sz val="10"/>
      <name val="Arial"/>
      <family val="2"/>
    </font>
    <font>
      <b/>
      <sz val="14"/>
      <name val="Arial"/>
      <family val="2"/>
    </font>
    <font>
      <b/>
      <u/>
      <sz val="10"/>
      <name val="Arial"/>
      <family val="2"/>
    </font>
    <font>
      <sz val="10"/>
      <color indexed="10"/>
      <name val="Arial"/>
      <family val="2"/>
    </font>
    <font>
      <b/>
      <sz val="10"/>
      <color indexed="10"/>
      <name val="Arial"/>
      <family val="2"/>
    </font>
    <font>
      <i/>
      <sz val="10"/>
      <color indexed="10"/>
      <name val="Arial"/>
      <family val="2"/>
    </font>
    <font>
      <i/>
      <sz val="10"/>
      <color indexed="10"/>
      <name val="Arial"/>
      <family val="2"/>
    </font>
    <font>
      <sz val="10"/>
      <color indexed="12"/>
      <name val="Arial"/>
      <family val="2"/>
    </font>
    <font>
      <sz val="10"/>
      <color indexed="33"/>
      <name val="Arial"/>
      <family val="2"/>
    </font>
    <font>
      <b/>
      <u/>
      <sz val="10"/>
      <name val="Arial"/>
      <family val="2"/>
    </font>
    <font>
      <sz val="10"/>
      <color indexed="8"/>
      <name val="Arial"/>
      <family val="2"/>
    </font>
    <font>
      <sz val="10"/>
      <color indexed="50"/>
      <name val="Arial"/>
      <family val="2"/>
    </font>
    <font>
      <sz val="10"/>
      <color indexed="12"/>
      <name val="Arial"/>
      <family val="2"/>
    </font>
    <font>
      <sz val="10"/>
      <color indexed="17"/>
      <name val="Arial"/>
      <family val="2"/>
    </font>
    <font>
      <b/>
      <sz val="12"/>
      <color indexed="12"/>
      <name val="Arial"/>
      <family val="2"/>
    </font>
    <font>
      <b/>
      <sz val="16"/>
      <name val="Arial"/>
      <family val="2"/>
    </font>
    <font>
      <b/>
      <sz val="10"/>
      <color indexed="12"/>
      <name val="Arial"/>
      <family val="2"/>
    </font>
    <font>
      <b/>
      <sz val="10"/>
      <color indexed="12"/>
      <name val="Arial"/>
      <family val="2"/>
    </font>
    <font>
      <b/>
      <i/>
      <sz val="10"/>
      <color indexed="10"/>
      <name val="Arial"/>
      <family val="2"/>
    </font>
    <font>
      <sz val="10"/>
      <name val="Arial"/>
      <family val="2"/>
    </font>
    <font>
      <b/>
      <sz val="14"/>
      <name val="Times New Roman"/>
      <family val="1"/>
    </font>
    <font>
      <sz val="8"/>
      <name val="Arial"/>
      <family val="2"/>
    </font>
    <font>
      <sz val="10"/>
      <color indexed="81"/>
      <name val="Tahoma"/>
      <family val="2"/>
    </font>
    <font>
      <sz val="10"/>
      <color indexed="81"/>
      <name val="Arial"/>
      <family val="2"/>
    </font>
    <font>
      <b/>
      <sz val="8"/>
      <color indexed="10"/>
      <name val="Arial"/>
      <family val="2"/>
    </font>
    <font>
      <b/>
      <sz val="9"/>
      <color indexed="10"/>
      <name val="Arial"/>
      <family val="2"/>
    </font>
    <font>
      <b/>
      <sz val="10"/>
      <color indexed="10"/>
      <name val="Arial"/>
      <family val="2"/>
    </font>
    <font>
      <sz val="10"/>
      <color indexed="17"/>
      <name val="Arial"/>
      <family val="2"/>
    </font>
    <font>
      <i/>
      <sz val="10"/>
      <name val="Arial"/>
      <family val="2"/>
    </font>
    <font>
      <b/>
      <sz val="10"/>
      <color indexed="81"/>
      <name val="Tahoma"/>
      <family val="2"/>
    </font>
    <font>
      <b/>
      <sz val="10"/>
      <name val="Arial"/>
      <family val="2"/>
    </font>
    <font>
      <sz val="9"/>
      <name val="Arial"/>
      <family val="2"/>
    </font>
    <font>
      <sz val="9"/>
      <color indexed="81"/>
      <name val="Tahoma"/>
      <family val="2"/>
    </font>
    <font>
      <i/>
      <sz val="10"/>
      <color rgb="FFFF0000"/>
      <name val="Arial"/>
      <family val="2"/>
    </font>
    <font>
      <b/>
      <i/>
      <sz val="10"/>
      <color rgb="FFFF0000"/>
      <name val="Arial"/>
      <family val="2"/>
    </font>
    <font>
      <b/>
      <sz val="10"/>
      <color rgb="FFFF0000"/>
      <name val="Arial"/>
      <family val="2"/>
    </font>
    <font>
      <sz val="8"/>
      <color rgb="FFFF0000"/>
      <name val="Arial"/>
      <family val="2"/>
    </font>
    <font>
      <sz val="10"/>
      <color rgb="FFFF0000"/>
      <name val="Arial"/>
      <family val="2"/>
    </font>
  </fonts>
  <fills count="10">
    <fill>
      <patternFill patternType="none"/>
    </fill>
    <fill>
      <patternFill patternType="gray125"/>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34"/>
        <bgColor indexed="64"/>
      </patternFill>
    </fill>
    <fill>
      <patternFill patternType="solid">
        <fgColor indexed="9"/>
        <bgColor indexed="64"/>
      </patternFill>
    </fill>
    <fill>
      <patternFill patternType="solid">
        <fgColor rgb="FFFFFF99"/>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0">
    <xf numFmtId="0" fontId="0" fillId="0" borderId="0" xfId="0"/>
    <xf numFmtId="0" fontId="0" fillId="0" borderId="0" xfId="0" applyAlignment="1">
      <alignment horizontal="center"/>
    </xf>
    <xf numFmtId="0" fontId="0" fillId="0" borderId="0" xfId="0" applyAlignment="1">
      <alignment horizontal="right"/>
    </xf>
    <xf numFmtId="0" fontId="0" fillId="2" borderId="0" xfId="0" applyFill="1" applyBorder="1"/>
    <xf numFmtId="0" fontId="0" fillId="3" borderId="0" xfId="0" applyFill="1"/>
    <xf numFmtId="0" fontId="6" fillId="3" borderId="0" xfId="0" applyFont="1" applyFill="1" applyAlignment="1">
      <alignment horizontal="centerContinuous"/>
    </xf>
    <xf numFmtId="0" fontId="0" fillId="3" borderId="0" xfId="0" applyFill="1" applyAlignment="1">
      <alignment horizontal="centerContinuous"/>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2" borderId="0" xfId="0" applyFill="1" applyBorder="1" applyAlignment="1">
      <alignment horizontal="right"/>
    </xf>
    <xf numFmtId="0" fontId="4" fillId="2" borderId="0" xfId="0" applyFont="1" applyFill="1" applyBorder="1"/>
    <xf numFmtId="0" fontId="0" fillId="4" borderId="0" xfId="0" applyFill="1" applyBorder="1"/>
    <xf numFmtId="0" fontId="0" fillId="5" borderId="0" xfId="0" applyFill="1" applyBorder="1"/>
    <xf numFmtId="0" fontId="0" fillId="5" borderId="0" xfId="0" applyFill="1" applyBorder="1" applyAlignment="1">
      <alignment horizontal="right"/>
    </xf>
    <xf numFmtId="0" fontId="4" fillId="5" borderId="0" xfId="0" applyFont="1" applyFill="1" applyBorder="1"/>
    <xf numFmtId="0" fontId="0" fillId="4" borderId="5" xfId="0" applyFill="1" applyBorder="1"/>
    <xf numFmtId="0" fontId="0" fillId="4" borderId="6" xfId="0" applyFill="1" applyBorder="1"/>
    <xf numFmtId="0" fontId="0" fillId="4" borderId="7" xfId="0" applyFill="1" applyBorder="1"/>
    <xf numFmtId="0" fontId="1" fillId="5" borderId="0" xfId="0" applyFont="1" applyFill="1" applyBorder="1" applyAlignment="1">
      <alignment horizontal="right"/>
    </xf>
    <xf numFmtId="0" fontId="1" fillId="2" borderId="0" xfId="0" applyFont="1" applyFill="1" applyBorder="1" applyAlignment="1">
      <alignment horizontal="right"/>
    </xf>
    <xf numFmtId="0" fontId="3" fillId="2" borderId="0" xfId="0" applyFont="1" applyFill="1" applyBorder="1" applyAlignment="1">
      <alignment horizontal="right"/>
    </xf>
    <xf numFmtId="0" fontId="0" fillId="0" borderId="0" xfId="0" applyBorder="1"/>
    <xf numFmtId="0" fontId="0" fillId="3" borderId="0" xfId="0" applyFill="1" applyAlignment="1">
      <alignment horizontal="right"/>
    </xf>
    <xf numFmtId="0" fontId="0" fillId="6" borderId="0" xfId="0" applyFill="1" applyBorder="1"/>
    <xf numFmtId="0" fontId="0" fillId="6" borderId="0" xfId="0" applyFill="1" applyBorder="1" applyAlignment="1">
      <alignment horizontal="right"/>
    </xf>
    <xf numFmtId="0" fontId="0" fillId="7" borderId="0" xfId="0" applyFill="1" applyBorder="1" applyAlignment="1">
      <alignment horizontal="center"/>
    </xf>
    <xf numFmtId="0" fontId="0" fillId="7" borderId="0" xfId="0" applyFill="1" applyBorder="1"/>
    <xf numFmtId="0" fontId="0" fillId="7" borderId="0" xfId="0" applyFill="1" applyBorder="1" applyAlignment="1">
      <alignment horizontal="right"/>
    </xf>
    <xf numFmtId="0" fontId="9" fillId="7" borderId="0" xfId="0" applyFont="1" applyFill="1" applyBorder="1"/>
    <xf numFmtId="0" fontId="0" fillId="2" borderId="1" xfId="0" applyFill="1" applyBorder="1"/>
    <xf numFmtId="0" fontId="0" fillId="2" borderId="2" xfId="0" applyFill="1" applyBorder="1"/>
    <xf numFmtId="0" fontId="0" fillId="2" borderId="8" xfId="0" applyFill="1" applyBorder="1"/>
    <xf numFmtId="0" fontId="8" fillId="2" borderId="3" xfId="0" applyFont="1" applyFill="1" applyBorder="1" applyAlignment="1">
      <alignment horizontal="centerContinuous"/>
    </xf>
    <xf numFmtId="0" fontId="0" fillId="2" borderId="0" xfId="0" applyFill="1" applyBorder="1" applyAlignment="1">
      <alignment horizontal="centerContinuous"/>
    </xf>
    <xf numFmtId="0" fontId="0" fillId="2" borderId="3" xfId="0" applyFill="1" applyBorder="1"/>
    <xf numFmtId="0" fontId="0" fillId="2" borderId="4" xfId="0" applyFill="1" applyBorder="1"/>
    <xf numFmtId="0" fontId="0" fillId="2" borderId="3" xfId="0" applyFill="1" applyBorder="1" applyAlignment="1">
      <alignment horizontal="right"/>
    </xf>
    <xf numFmtId="0" fontId="7" fillId="2" borderId="0" xfId="0" applyFont="1" applyFill="1" applyBorder="1"/>
    <xf numFmtId="0" fontId="7" fillId="0" borderId="0" xfId="0" applyFont="1" applyBorder="1"/>
    <xf numFmtId="0" fontId="0" fillId="2" borderId="5" xfId="0" applyFill="1" applyBorder="1"/>
    <xf numFmtId="0" fontId="0" fillId="2" borderId="6" xfId="0" applyFill="1" applyBorder="1"/>
    <xf numFmtId="0" fontId="0" fillId="0" borderId="6" xfId="0" applyBorder="1"/>
    <xf numFmtId="0" fontId="0" fillId="2" borderId="6" xfId="0" applyFill="1" applyBorder="1" applyAlignment="1">
      <alignment horizontal="center"/>
    </xf>
    <xf numFmtId="0" fontId="0" fillId="2" borderId="7" xfId="0" applyFill="1" applyBorder="1"/>
    <xf numFmtId="0" fontId="5" fillId="2" borderId="1" xfId="0" applyFont="1" applyFill="1" applyBorder="1" applyAlignment="1">
      <alignment horizontal="centerContinuous"/>
    </xf>
    <xf numFmtId="0" fontId="5" fillId="2" borderId="2" xfId="0" applyFont="1" applyFill="1" applyBorder="1" applyAlignment="1">
      <alignment horizontal="centerContinuous"/>
    </xf>
    <xf numFmtId="0" fontId="5" fillId="2" borderId="8" xfId="0" applyFont="1" applyFill="1" applyBorder="1" applyAlignment="1">
      <alignment horizontal="centerContinuous"/>
    </xf>
    <xf numFmtId="0" fontId="5" fillId="5" borderId="1" xfId="0" applyFont="1" applyFill="1" applyBorder="1" applyAlignment="1">
      <alignment horizontal="centerContinuous"/>
    </xf>
    <xf numFmtId="0" fontId="5" fillId="5" borderId="2" xfId="0" applyFont="1" applyFill="1" applyBorder="1" applyAlignment="1">
      <alignment horizontal="centerContinuous"/>
    </xf>
    <xf numFmtId="0" fontId="5" fillId="5" borderId="8" xfId="0" applyFont="1" applyFill="1" applyBorder="1" applyAlignment="1">
      <alignment horizontal="centerContinuous"/>
    </xf>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2" fillId="0" borderId="9" xfId="0" applyFont="1" applyBorder="1" applyAlignment="1">
      <alignment horizontal="centerContinuous"/>
    </xf>
    <xf numFmtId="0" fontId="0" fillId="0" borderId="10"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2" fillId="0" borderId="11" xfId="0" applyFont="1" applyBorder="1" applyAlignment="1">
      <alignment horizontal="centerContinuous"/>
    </xf>
    <xf numFmtId="0" fontId="0" fillId="0" borderId="16" xfId="0" applyBorder="1"/>
    <xf numFmtId="0" fontId="3" fillId="5" borderId="0" xfId="0" applyFont="1" applyFill="1" applyBorder="1" applyAlignment="1">
      <alignment horizontal="right"/>
    </xf>
    <xf numFmtId="0" fontId="10" fillId="5" borderId="0" xfId="0" applyFont="1" applyFill="1" applyBorder="1" applyAlignment="1">
      <alignment horizontal="right"/>
    </xf>
    <xf numFmtId="0" fontId="9" fillId="6" borderId="0" xfId="0" applyFont="1" applyFill="1" applyBorder="1" applyAlignment="1">
      <alignment horizontal="center"/>
    </xf>
    <xf numFmtId="0" fontId="0" fillId="2" borderId="0" xfId="0" applyFill="1" applyBorder="1" applyAlignment="1">
      <alignment horizontal="center"/>
    </xf>
    <xf numFmtId="0" fontId="1" fillId="7" borderId="17" xfId="0" applyFont="1" applyFill="1" applyBorder="1" applyAlignment="1">
      <alignment horizontal="center"/>
    </xf>
    <xf numFmtId="0" fontId="11" fillId="6" borderId="0" xfId="0" applyFont="1" applyFill="1" applyBorder="1"/>
    <xf numFmtId="0" fontId="11" fillId="7" borderId="0" xfId="0" applyFont="1" applyFill="1" applyBorder="1"/>
    <xf numFmtId="0" fontId="0" fillId="2" borderId="0" xfId="0" applyFill="1"/>
    <xf numFmtId="0" fontId="12" fillId="2" borderId="0" xfId="0" applyFont="1" applyFill="1" applyBorder="1"/>
    <xf numFmtId="0" fontId="0" fillId="2" borderId="4" xfId="0" applyFill="1" applyBorder="1" applyAlignment="1">
      <alignment horizontal="centerContinuous"/>
    </xf>
    <xf numFmtId="0" fontId="3" fillId="0" borderId="12" xfId="0" applyFont="1" applyBorder="1"/>
    <xf numFmtId="0" fontId="13" fillId="2" borderId="0" xfId="0" applyFont="1" applyFill="1" applyBorder="1"/>
    <xf numFmtId="0" fontId="2" fillId="0" borderId="0" xfId="0" applyFont="1" applyAlignment="1">
      <alignment horizontal="center"/>
    </xf>
    <xf numFmtId="0" fontId="0" fillId="0" borderId="17" xfId="0" applyBorder="1" applyAlignment="1">
      <alignment horizontal="center"/>
    </xf>
    <xf numFmtId="0" fontId="1" fillId="6" borderId="0" xfId="0" applyFont="1" applyFill="1" applyBorder="1" applyAlignment="1">
      <alignment horizontal="center"/>
    </xf>
    <xf numFmtId="0" fontId="0" fillId="6" borderId="0" xfId="0" applyFill="1" applyBorder="1" applyAlignment="1">
      <alignment horizontal="center"/>
    </xf>
    <xf numFmtId="0" fontId="1" fillId="5" borderId="0" xfId="0" applyFont="1" applyFill="1" applyBorder="1" applyAlignment="1">
      <alignment horizontal="center"/>
    </xf>
    <xf numFmtId="0" fontId="2" fillId="0" borderId="18" xfId="0" applyFont="1" applyBorder="1" applyAlignment="1">
      <alignment horizontal="centerContinuous"/>
    </xf>
    <xf numFmtId="0" fontId="2" fillId="0" borderId="19" xfId="0" applyFont="1" applyBorder="1" applyAlignment="1">
      <alignment horizontal="centerContinuous"/>
    </xf>
    <xf numFmtId="0" fontId="0" fillId="0" borderId="20" xfId="0" applyBorder="1" applyAlignment="1">
      <alignment horizontal="center"/>
    </xf>
    <xf numFmtId="0" fontId="0" fillId="0" borderId="21" xfId="0" applyBorder="1"/>
    <xf numFmtId="0" fontId="0" fillId="0" borderId="20" xfId="0" applyBorder="1"/>
    <xf numFmtId="0" fontId="0" fillId="0" borderId="22" xfId="0" applyBorder="1"/>
    <xf numFmtId="0" fontId="0" fillId="0" borderId="23" xfId="0" applyBorder="1"/>
    <xf numFmtId="14" fontId="0" fillId="2" borderId="0" xfId="0" applyNumberFormat="1" applyFill="1" applyBorder="1"/>
    <xf numFmtId="0" fontId="0" fillId="0" borderId="2" xfId="0" applyBorder="1" applyAlignment="1">
      <alignment horizontal="center"/>
    </xf>
    <xf numFmtId="0" fontId="0" fillId="0" borderId="0" xfId="0" applyAlignment="1">
      <alignment horizontal="centerContinuous"/>
    </xf>
    <xf numFmtId="0" fontId="2" fillId="0" borderId="0" xfId="0" applyFont="1" applyAlignment="1">
      <alignment horizontal="centerContinuous"/>
    </xf>
    <xf numFmtId="0" fontId="0" fillId="8" borderId="0" xfId="0" applyFill="1" applyBorder="1"/>
    <xf numFmtId="0" fontId="0" fillId="8" borderId="0" xfId="0" applyFill="1" applyBorder="1" applyAlignment="1">
      <alignment horizontal="centerContinuous"/>
    </xf>
    <xf numFmtId="0" fontId="5" fillId="8" borderId="0" xfId="0" applyFont="1" applyFill="1" applyBorder="1" applyAlignment="1">
      <alignment horizontal="centerContinuous"/>
    </xf>
    <xf numFmtId="0" fontId="5" fillId="2" borderId="0" xfId="0" applyFont="1" applyFill="1" applyBorder="1" applyAlignment="1">
      <alignment horizontal="centerContinuous"/>
    </xf>
    <xf numFmtId="0" fontId="2" fillId="0" borderId="0" xfId="0" applyFont="1"/>
    <xf numFmtId="0" fontId="14" fillId="2" borderId="0" xfId="0" applyFont="1" applyFill="1" applyBorder="1" applyAlignment="1">
      <alignment horizontal="right"/>
    </xf>
    <xf numFmtId="0" fontId="14" fillId="5" borderId="0" xfId="0" applyFont="1" applyFill="1" applyBorder="1" applyAlignment="1">
      <alignment horizontal="right"/>
    </xf>
    <xf numFmtId="0" fontId="12" fillId="5" borderId="0" xfId="0" applyFont="1" applyFill="1" applyBorder="1"/>
    <xf numFmtId="0" fontId="14" fillId="5" borderId="0" xfId="0" applyFont="1" applyFill="1" applyAlignment="1">
      <alignment horizontal="right"/>
    </xf>
    <xf numFmtId="0" fontId="3" fillId="0" borderId="0" xfId="0" applyFont="1" applyAlignment="1">
      <alignment horizontal="center"/>
    </xf>
    <xf numFmtId="0" fontId="0" fillId="2" borderId="24" xfId="0" applyFill="1" applyBorder="1"/>
    <xf numFmtId="0" fontId="0" fillId="5" borderId="0" xfId="0" applyFill="1" applyAlignment="1">
      <alignment horizontal="center"/>
    </xf>
    <xf numFmtId="0" fontId="0" fillId="6" borderId="25" xfId="0" applyFill="1" applyBorder="1"/>
    <xf numFmtId="0" fontId="0" fillId="6" borderId="26" xfId="0" applyFill="1" applyBorder="1"/>
    <xf numFmtId="0" fontId="0" fillId="6" borderId="27" xfId="0" applyFill="1" applyBorder="1"/>
    <xf numFmtId="0" fontId="0" fillId="6" borderId="28" xfId="0" applyFill="1" applyBorder="1"/>
    <xf numFmtId="0" fontId="16" fillId="6" borderId="0" xfId="0" applyFont="1" applyFill="1" applyBorder="1"/>
    <xf numFmtId="0" fontId="7" fillId="6" borderId="0" xfId="0" applyFont="1" applyFill="1" applyBorder="1"/>
    <xf numFmtId="0" fontId="0" fillId="6" borderId="29" xfId="0" applyFill="1" applyBorder="1"/>
    <xf numFmtId="0" fontId="0" fillId="6" borderId="30" xfId="0" applyFill="1" applyBorder="1"/>
    <xf numFmtId="0" fontId="0" fillId="6" borderId="24" xfId="0" applyFill="1" applyBorder="1"/>
    <xf numFmtId="0" fontId="0" fillId="6" borderId="31" xfId="0" applyFill="1" applyBorder="1"/>
    <xf numFmtId="0" fontId="9" fillId="6" borderId="26" xfId="0" applyFont="1" applyFill="1" applyBorder="1"/>
    <xf numFmtId="0" fontId="12" fillId="6" borderId="0" xfId="0" applyFont="1" applyFill="1" applyBorder="1"/>
    <xf numFmtId="0" fontId="18" fillId="6" borderId="0" xfId="0" applyFont="1" applyFill="1" applyBorder="1"/>
    <xf numFmtId="0" fontId="14" fillId="6" borderId="0" xfId="0" applyFont="1" applyFill="1" applyBorder="1" applyAlignment="1">
      <alignment horizontal="center"/>
    </xf>
    <xf numFmtId="0" fontId="13" fillId="6" borderId="0" xfId="0" applyFont="1" applyFill="1" applyBorder="1"/>
    <xf numFmtId="0" fontId="16" fillId="6" borderId="26" xfId="0" applyFont="1" applyFill="1" applyBorder="1"/>
    <xf numFmtId="0" fontId="17" fillId="6" borderId="0" xfId="0" applyFont="1" applyFill="1" applyBorder="1"/>
    <xf numFmtId="2" fontId="0" fillId="6" borderId="0" xfId="0" applyNumberFormat="1" applyFill="1" applyBorder="1" applyAlignment="1">
      <alignment horizontal="right"/>
    </xf>
    <xf numFmtId="0" fontId="14" fillId="6" borderId="24" xfId="0" applyFont="1" applyFill="1" applyBorder="1" applyAlignment="1">
      <alignment horizontal="left"/>
    </xf>
    <xf numFmtId="0" fontId="0" fillId="6" borderId="31" xfId="0" applyFill="1" applyBorder="1" applyAlignment="1">
      <alignment horizontal="centerContinuous"/>
    </xf>
    <xf numFmtId="0" fontId="14" fillId="6" borderId="0" xfId="0" applyFont="1" applyFill="1" applyBorder="1"/>
    <xf numFmtId="0" fontId="9" fillId="6" borderId="0" xfId="0" applyFont="1" applyFill="1" applyBorder="1"/>
    <xf numFmtId="0" fontId="0" fillId="6" borderId="0" xfId="0" applyFill="1" applyBorder="1" applyAlignment="1">
      <alignment horizontal="left"/>
    </xf>
    <xf numFmtId="0" fontId="14" fillId="6" borderId="0" xfId="0" applyFont="1" applyFill="1" applyBorder="1" applyAlignment="1">
      <alignment horizontal="left"/>
    </xf>
    <xf numFmtId="0" fontId="5" fillId="6" borderId="26" xfId="0" applyFont="1" applyFill="1" applyBorder="1" applyAlignment="1">
      <alignment horizontal="centerContinuous"/>
    </xf>
    <xf numFmtId="0" fontId="5" fillId="6" borderId="27" xfId="0" applyFont="1" applyFill="1" applyBorder="1" applyAlignment="1">
      <alignment horizontal="centerContinuous"/>
    </xf>
    <xf numFmtId="0" fontId="9" fillId="6" borderId="0" xfId="0" applyFont="1" applyFill="1" applyBorder="1" applyAlignment="1">
      <alignment horizontal="left"/>
    </xf>
    <xf numFmtId="179" fontId="14" fillId="6" borderId="0" xfId="0" applyNumberFormat="1" applyFont="1" applyFill="1" applyBorder="1"/>
    <xf numFmtId="22" fontId="0" fillId="6" borderId="29" xfId="0" applyNumberFormat="1" applyFill="1" applyBorder="1"/>
    <xf numFmtId="0" fontId="0" fillId="6" borderId="29" xfId="0" applyNumberFormat="1" applyFill="1" applyBorder="1"/>
    <xf numFmtId="179" fontId="14" fillId="6" borderId="24" xfId="0" applyNumberFormat="1" applyFont="1" applyFill="1" applyBorder="1"/>
    <xf numFmtId="0" fontId="0" fillId="6" borderId="31" xfId="0" applyNumberFormat="1" applyFill="1" applyBorder="1"/>
    <xf numFmtId="0" fontId="15" fillId="6" borderId="0" xfId="0" applyFont="1" applyFill="1" applyBorder="1"/>
    <xf numFmtId="0" fontId="0" fillId="6" borderId="26" xfId="0" applyFill="1" applyBorder="1" applyAlignment="1">
      <alignment horizontal="left"/>
    </xf>
    <xf numFmtId="0" fontId="0" fillId="4" borderId="0" xfId="0" applyFill="1"/>
    <xf numFmtId="0" fontId="5" fillId="4" borderId="0" xfId="0" applyFont="1" applyFill="1" applyBorder="1" applyAlignment="1">
      <alignment horizontal="centerContinuous"/>
    </xf>
    <xf numFmtId="0" fontId="19" fillId="6" borderId="0" xfId="0" applyFont="1" applyFill="1" applyBorder="1"/>
    <xf numFmtId="0" fontId="20" fillId="6" borderId="0" xfId="0" applyFont="1" applyFill="1" applyBorder="1"/>
    <xf numFmtId="0" fontId="1" fillId="0" borderId="0" xfId="0" applyFont="1" applyAlignment="1">
      <alignment horizontal="center"/>
    </xf>
    <xf numFmtId="0" fontId="0" fillId="2" borderId="2" xfId="0" applyFill="1" applyBorder="1" applyAlignment="1">
      <alignment horizontal="centerContinuous"/>
    </xf>
    <xf numFmtId="0" fontId="5" fillId="2" borderId="4" xfId="0" applyFont="1" applyFill="1" applyBorder="1" applyAlignment="1">
      <alignment horizontal="centerContinuous"/>
    </xf>
    <xf numFmtId="0" fontId="6" fillId="2" borderId="2" xfId="0" applyFont="1" applyFill="1" applyBorder="1" applyAlignment="1">
      <alignment horizontal="centerContinuous"/>
    </xf>
    <xf numFmtId="0" fontId="0" fillId="4" borderId="1" xfId="0" applyFill="1" applyBorder="1" applyAlignment="1"/>
    <xf numFmtId="0" fontId="6" fillId="4" borderId="2" xfId="0" applyFont="1" applyFill="1" applyBorder="1" applyAlignment="1"/>
    <xf numFmtId="0" fontId="0" fillId="4" borderId="2" xfId="0" applyFill="1" applyBorder="1" applyAlignment="1"/>
    <xf numFmtId="0" fontId="0" fillId="4" borderId="8" xfId="0" applyFill="1" applyBorder="1" applyAlignment="1"/>
    <xf numFmtId="0" fontId="0" fillId="4" borderId="2" xfId="0" applyFill="1" applyBorder="1" applyAlignment="1">
      <alignment horizontal="center"/>
    </xf>
    <xf numFmtId="0" fontId="3" fillId="0" borderId="0" xfId="0" applyFont="1" applyBorder="1"/>
    <xf numFmtId="0" fontId="22" fillId="0" borderId="0" xfId="0" applyFont="1" applyAlignment="1">
      <alignment horizontal="centerContinuous"/>
    </xf>
    <xf numFmtId="0" fontId="3" fillId="8" borderId="0" xfId="0" applyFont="1" applyFill="1" applyBorder="1" applyAlignment="1">
      <alignment horizontal="right"/>
    </xf>
    <xf numFmtId="0" fontId="10" fillId="0" borderId="0" xfId="0" applyFont="1" applyAlignment="1">
      <alignment horizontal="center"/>
    </xf>
    <xf numFmtId="0" fontId="14" fillId="0" borderId="0" xfId="0" applyFont="1"/>
    <xf numFmtId="0" fontId="0" fillId="2" borderId="0" xfId="0" applyFill="1" applyAlignment="1">
      <alignment horizontal="right"/>
    </xf>
    <xf numFmtId="15" fontId="0" fillId="0" borderId="0" xfId="0" applyNumberFormat="1" applyAlignment="1">
      <alignment horizontal="center"/>
    </xf>
    <xf numFmtId="14" fontId="0" fillId="0" borderId="0" xfId="0" applyNumberFormat="1" applyAlignment="1">
      <alignment horizontal="center"/>
    </xf>
    <xf numFmtId="0" fontId="0" fillId="8" borderId="0" xfId="0" applyFill="1"/>
    <xf numFmtId="0" fontId="0" fillId="8" borderId="0" xfId="0" applyFill="1" applyAlignment="1">
      <alignment horizontal="right"/>
    </xf>
    <xf numFmtId="0" fontId="22" fillId="8" borderId="0" xfId="0" applyFont="1" applyFill="1" applyAlignment="1">
      <alignment horizontal="centerContinuous"/>
    </xf>
    <xf numFmtId="0" fontId="0" fillId="8" borderId="0" xfId="0" applyFill="1" applyAlignment="1">
      <alignment horizontal="centerContinuous"/>
    </xf>
    <xf numFmtId="0" fontId="1" fillId="8" borderId="0" xfId="0" applyFont="1" applyFill="1"/>
    <xf numFmtId="0" fontId="7" fillId="8" borderId="32" xfId="0" applyFont="1" applyFill="1" applyBorder="1" applyAlignment="1">
      <alignment horizontal="centerContinuous"/>
    </xf>
    <xf numFmtId="0" fontId="0" fillId="8" borderId="26" xfId="0" applyFill="1" applyBorder="1" applyAlignment="1">
      <alignment horizontal="centerContinuous"/>
    </xf>
    <xf numFmtId="0" fontId="0" fillId="8" borderId="27" xfId="0" applyFill="1" applyBorder="1" applyAlignment="1">
      <alignment horizontal="centerContinuous"/>
    </xf>
    <xf numFmtId="0" fontId="0" fillId="8" borderId="28" xfId="0" applyFill="1" applyBorder="1"/>
    <xf numFmtId="0" fontId="0" fillId="8" borderId="0" xfId="0" applyFill="1" applyBorder="1" applyAlignment="1">
      <alignment horizontal="right"/>
    </xf>
    <xf numFmtId="0" fontId="1" fillId="8" borderId="29" xfId="0" applyFont="1" applyFill="1" applyBorder="1"/>
    <xf numFmtId="49" fontId="1" fillId="8" borderId="29" xfId="0" applyNumberFormat="1" applyFont="1" applyFill="1" applyBorder="1" applyAlignment="1">
      <alignment horizontal="left"/>
    </xf>
    <xf numFmtId="0" fontId="0" fillId="8" borderId="0" xfId="0" applyFill="1" applyBorder="1" applyAlignment="1">
      <alignment horizontal="right" wrapText="1"/>
    </xf>
    <xf numFmtId="0" fontId="1" fillId="8" borderId="29" xfId="0" applyFont="1" applyFill="1" applyBorder="1" applyAlignment="1">
      <alignment wrapText="1"/>
    </xf>
    <xf numFmtId="0" fontId="1" fillId="8" borderId="29" xfId="0" applyFont="1" applyFill="1" applyBorder="1" applyAlignment="1">
      <alignment horizontal="left"/>
    </xf>
    <xf numFmtId="0" fontId="0" fillId="8" borderId="30" xfId="0" applyFill="1" applyBorder="1"/>
    <xf numFmtId="0" fontId="0" fillId="8" borderId="24" xfId="0" applyFill="1" applyBorder="1"/>
    <xf numFmtId="0" fontId="0" fillId="8" borderId="24" xfId="0" applyFill="1" applyBorder="1" applyAlignment="1">
      <alignment horizontal="right"/>
    </xf>
    <xf numFmtId="0" fontId="1" fillId="8" borderId="31" xfId="0" applyFont="1" applyFill="1" applyBorder="1" applyAlignment="1">
      <alignment horizontal="left"/>
    </xf>
    <xf numFmtId="0" fontId="1" fillId="8" borderId="0" xfId="0" applyFont="1" applyFill="1" applyAlignment="1">
      <alignment horizontal="left"/>
    </xf>
    <xf numFmtId="0" fontId="7" fillId="8" borderId="25" xfId="0" applyFont="1" applyFill="1" applyBorder="1" applyAlignment="1">
      <alignment horizontal="centerContinuous"/>
    </xf>
    <xf numFmtId="0" fontId="0" fillId="8" borderId="25" xfId="0" applyFill="1" applyBorder="1" applyAlignment="1">
      <alignment horizontal="centerContinuous"/>
    </xf>
    <xf numFmtId="0" fontId="23" fillId="8" borderId="29" xfId="0" applyFont="1" applyFill="1" applyBorder="1" applyAlignment="1">
      <alignment horizontal="left"/>
    </xf>
    <xf numFmtId="0" fontId="0" fillId="8" borderId="0" xfId="0" applyFill="1" applyAlignment="1">
      <alignment horizontal="left"/>
    </xf>
    <xf numFmtId="1" fontId="0" fillId="6" borderId="0" xfId="0" applyNumberFormat="1" applyFill="1" applyBorder="1" applyAlignment="1">
      <alignment horizontal="right"/>
    </xf>
    <xf numFmtId="0" fontId="2" fillId="0" borderId="0" xfId="0" applyFont="1" applyAlignment="1">
      <alignment horizontal="right"/>
    </xf>
    <xf numFmtId="0" fontId="0" fillId="6" borderId="0" xfId="0" applyFill="1"/>
    <xf numFmtId="0" fontId="7" fillId="8" borderId="26" xfId="0" applyFont="1" applyFill="1" applyBorder="1" applyAlignment="1">
      <alignment horizontal="centerContinuous"/>
    </xf>
    <xf numFmtId="0" fontId="1" fillId="8" borderId="0" xfId="0" applyFont="1" applyFill="1" applyBorder="1" applyAlignment="1">
      <alignment horizontal="left"/>
    </xf>
    <xf numFmtId="0" fontId="0" fillId="8" borderId="0" xfId="0" applyFill="1" applyBorder="1" applyAlignment="1">
      <alignment horizontal="center"/>
    </xf>
    <xf numFmtId="0" fontId="3" fillId="8" borderId="0" xfId="0" applyFont="1" applyFill="1" applyBorder="1" applyAlignment="1">
      <alignment horizontal="center"/>
    </xf>
    <xf numFmtId="0" fontId="1" fillId="8" borderId="0" xfId="0" applyFont="1" applyFill="1" applyBorder="1" applyAlignment="1">
      <alignment horizontal="center"/>
    </xf>
    <xf numFmtId="0" fontId="1" fillId="8" borderId="27" xfId="0" applyFont="1" applyFill="1" applyBorder="1" applyAlignment="1">
      <alignment horizontal="centerContinuous"/>
    </xf>
    <xf numFmtId="0" fontId="0" fillId="0" borderId="29" xfId="0" applyBorder="1"/>
    <xf numFmtId="0" fontId="1" fillId="8" borderId="24" xfId="0" applyFont="1" applyFill="1" applyBorder="1" applyAlignment="1">
      <alignment horizontal="center"/>
    </xf>
    <xf numFmtId="0" fontId="0" fillId="2" borderId="0" xfId="0" applyFill="1" applyBorder="1" applyProtection="1">
      <protection locked="0"/>
    </xf>
    <xf numFmtId="0" fontId="0" fillId="2" borderId="0" xfId="0" applyFill="1" applyBorder="1" applyAlignment="1" applyProtection="1">
      <alignment horizontal="right"/>
      <protection locked="0"/>
    </xf>
    <xf numFmtId="0" fontId="1" fillId="0" borderId="17" xfId="0" applyFont="1" applyBorder="1" applyAlignment="1" applyProtection="1">
      <alignment horizontal="center"/>
      <protection locked="0"/>
    </xf>
    <xf numFmtId="0" fontId="1" fillId="8" borderId="17" xfId="0" applyFont="1" applyFill="1" applyBorder="1" applyAlignment="1" applyProtection="1">
      <alignment horizontal="center"/>
      <protection locked="0"/>
    </xf>
    <xf numFmtId="0" fontId="0" fillId="0" borderId="17" xfId="0" applyBorder="1" applyAlignment="1" applyProtection="1">
      <alignment horizontal="left"/>
      <protection locked="0"/>
    </xf>
    <xf numFmtId="0" fontId="0" fillId="7" borderId="0" xfId="0" applyFill="1" applyBorder="1" applyProtection="1">
      <protection locked="0"/>
    </xf>
    <xf numFmtId="0" fontId="0" fillId="0" borderId="17" xfId="0" applyBorder="1" applyAlignment="1" applyProtection="1">
      <alignment horizontal="center"/>
      <protection locked="0"/>
    </xf>
    <xf numFmtId="0" fontId="1" fillId="8" borderId="6" xfId="0" applyFont="1" applyFill="1" applyBorder="1" applyAlignment="1" applyProtection="1">
      <alignment horizontal="center"/>
      <protection locked="0"/>
    </xf>
    <xf numFmtId="0" fontId="24" fillId="8" borderId="31" xfId="0" applyFont="1" applyFill="1" applyBorder="1" applyAlignment="1">
      <alignment horizontal="left"/>
    </xf>
    <xf numFmtId="0" fontId="1" fillId="8" borderId="0" xfId="0" applyFont="1" applyFill="1" applyAlignment="1">
      <alignment horizontal="centerContinuous"/>
    </xf>
    <xf numFmtId="0" fontId="25" fillId="8" borderId="0" xfId="0" applyFont="1" applyFill="1" applyAlignment="1">
      <alignment horizontal="centerContinuous"/>
    </xf>
    <xf numFmtId="0" fontId="26" fillId="8" borderId="0" xfId="0" applyFont="1" applyFill="1" applyBorder="1"/>
    <xf numFmtId="0" fontId="1" fillId="0" borderId="0" xfId="0" applyFont="1" applyAlignment="1">
      <alignment horizontal="centerContinuous"/>
    </xf>
    <xf numFmtId="0" fontId="27" fillId="0" borderId="0" xfId="0" applyFont="1" applyAlignment="1">
      <alignment horizontal="centerContinuous"/>
    </xf>
    <xf numFmtId="14" fontId="27" fillId="0" borderId="0" xfId="0" applyNumberFormat="1" applyFont="1" applyAlignment="1">
      <alignment horizontal="centerContinuous"/>
    </xf>
    <xf numFmtId="182" fontId="0" fillId="6" borderId="0" xfId="0" applyNumberFormat="1" applyFill="1" applyBorder="1"/>
    <xf numFmtId="0" fontId="14" fillId="6" borderId="0" xfId="0" applyNumberFormat="1" applyFont="1" applyFill="1" applyBorder="1"/>
    <xf numFmtId="0" fontId="27" fillId="0" borderId="0" xfId="0" applyFont="1" applyAlignment="1">
      <alignment horizontal="center"/>
    </xf>
    <xf numFmtId="0" fontId="28" fillId="0" borderId="0" xfId="0" applyFont="1" applyAlignment="1">
      <alignment horizontal="center"/>
    </xf>
    <xf numFmtId="14" fontId="28" fillId="0" borderId="0" xfId="0" applyNumberFormat="1" applyFont="1" applyAlignment="1">
      <alignment horizontal="center"/>
    </xf>
    <xf numFmtId="0" fontId="26" fillId="0" borderId="0" xfId="0" applyFont="1" applyAlignment="1">
      <alignment wrapText="1"/>
    </xf>
    <xf numFmtId="0" fontId="21" fillId="6" borderId="26" xfId="0" applyFont="1" applyFill="1" applyBorder="1"/>
    <xf numFmtId="0" fontId="0" fillId="0" borderId="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3" xfId="0" applyBorder="1" applyProtection="1">
      <protection locked="0"/>
    </xf>
    <xf numFmtId="0" fontId="0" fillId="0" borderId="21" xfId="0" applyBorder="1" applyAlignment="1" applyProtection="1">
      <alignment horizontal="center"/>
      <protection locked="0"/>
    </xf>
    <xf numFmtId="0" fontId="0" fillId="0" borderId="21" xfId="0" applyBorder="1" applyProtection="1">
      <protection locked="0"/>
    </xf>
    <xf numFmtId="0" fontId="0" fillId="0" borderId="0" xfId="0" applyProtection="1">
      <protection locked="0"/>
    </xf>
    <xf numFmtId="0" fontId="2" fillId="0" borderId="11" xfId="0" applyFont="1" applyBorder="1" applyAlignment="1" applyProtection="1">
      <alignment horizontal="centerContinuous"/>
      <protection locked="0"/>
    </xf>
    <xf numFmtId="0" fontId="0" fillId="0" borderId="12" xfId="0" applyBorder="1" applyProtection="1">
      <protection locked="0"/>
    </xf>
    <xf numFmtId="0" fontId="28" fillId="2" borderId="0" xfId="0" applyFont="1" applyFill="1" applyBorder="1" applyAlignment="1">
      <alignment horizontal="left"/>
    </xf>
    <xf numFmtId="0" fontId="31" fillId="2" borderId="0" xfId="0" applyFont="1" applyFill="1" applyBorder="1"/>
    <xf numFmtId="0" fontId="26" fillId="6" borderId="0" xfId="0" applyFont="1" applyFill="1" applyBorder="1" applyAlignment="1">
      <alignment horizontal="left"/>
    </xf>
    <xf numFmtId="0" fontId="32" fillId="6" borderId="0" xfId="0" applyFont="1" applyFill="1" applyBorder="1"/>
    <xf numFmtId="0" fontId="33" fillId="8" borderId="29" xfId="0" applyFont="1" applyFill="1" applyBorder="1"/>
    <xf numFmtId="0" fontId="33" fillId="8" borderId="0" xfId="0" applyFont="1" applyFill="1"/>
    <xf numFmtId="0" fontId="28" fillId="2" borderId="0" xfId="0" applyFont="1" applyFill="1" applyBorder="1" applyAlignment="1">
      <alignment horizontal="center"/>
    </xf>
    <xf numFmtId="0" fontId="28" fillId="2" borderId="8" xfId="0" applyFont="1" applyFill="1" applyBorder="1" applyAlignment="1">
      <alignment horizontal="center"/>
    </xf>
    <xf numFmtId="0" fontId="28" fillId="8" borderId="0" xfId="0" applyFont="1" applyFill="1" applyAlignment="1">
      <alignment horizontal="right"/>
    </xf>
    <xf numFmtId="198" fontId="28" fillId="6" borderId="24" xfId="0" applyNumberFormat="1" applyFont="1" applyFill="1" applyBorder="1" applyAlignment="1">
      <alignment horizontal="left"/>
    </xf>
    <xf numFmtId="0" fontId="34" fillId="6" borderId="0" xfId="0" applyFont="1" applyFill="1" applyBorder="1"/>
    <xf numFmtId="0" fontId="35" fillId="0" borderId="0" xfId="0" applyFont="1"/>
    <xf numFmtId="0" fontId="35" fillId="0" borderId="0" xfId="0" applyFont="1" applyAlignment="1">
      <alignment horizontal="right"/>
    </xf>
    <xf numFmtId="0" fontId="19" fillId="6" borderId="0" xfId="0" applyFont="1" applyFill="1" applyBorder="1" applyAlignment="1">
      <alignment horizontal="left"/>
    </xf>
    <xf numFmtId="49" fontId="1" fillId="8" borderId="17" xfId="0" applyNumberFormat="1" applyFont="1" applyFill="1" applyBorder="1" applyAlignment="1" applyProtection="1">
      <alignment horizontal="center"/>
      <protection locked="0"/>
    </xf>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xf>
    <xf numFmtId="0" fontId="26" fillId="0" borderId="0" xfId="0" applyFont="1"/>
    <xf numFmtId="0" fontId="26" fillId="5" borderId="0" xfId="0" applyFont="1" applyFill="1" applyBorder="1" applyAlignment="1">
      <alignment horizontal="right"/>
    </xf>
    <xf numFmtId="0" fontId="37" fillId="0" borderId="17" xfId="0" applyFont="1" applyFill="1" applyBorder="1" applyAlignment="1">
      <alignment horizontal="center"/>
    </xf>
    <xf numFmtId="0" fontId="13" fillId="5" borderId="0" xfId="0" applyFont="1" applyFill="1" applyBorder="1"/>
    <xf numFmtId="0" fontId="40" fillId="5" borderId="0" xfId="0" applyFont="1" applyFill="1" applyBorder="1"/>
    <xf numFmtId="0" fontId="41" fillId="5" borderId="0" xfId="0" applyFont="1" applyFill="1" applyBorder="1"/>
    <xf numFmtId="0" fontId="26" fillId="5" borderId="6" xfId="0" applyFont="1" applyFill="1" applyBorder="1"/>
    <xf numFmtId="0" fontId="40" fillId="2" borderId="0" xfId="0" applyFont="1" applyFill="1" applyBorder="1"/>
    <xf numFmtId="0" fontId="26" fillId="2" borderId="0" xfId="0" applyFont="1" applyFill="1" applyBorder="1" applyAlignment="1">
      <alignment horizontal="right"/>
    </xf>
    <xf numFmtId="0" fontId="26" fillId="0" borderId="0" xfId="0" applyFont="1" applyAlignment="1">
      <alignment vertical="top"/>
    </xf>
    <xf numFmtId="0" fontId="42" fillId="6" borderId="0" xfId="0" applyFont="1" applyFill="1" applyBorder="1" applyAlignment="1">
      <alignment horizontal="center"/>
    </xf>
    <xf numFmtId="0" fontId="3" fillId="8" borderId="29" xfId="0" applyFont="1" applyFill="1" applyBorder="1" applyAlignment="1">
      <alignment horizontal="left"/>
    </xf>
    <xf numFmtId="0" fontId="3" fillId="8" borderId="24" xfId="0" applyFont="1" applyFill="1" applyBorder="1" applyAlignment="1">
      <alignment horizontal="right"/>
    </xf>
    <xf numFmtId="0" fontId="3" fillId="6" borderId="0" xfId="0" applyFont="1" applyFill="1" applyBorder="1"/>
    <xf numFmtId="0" fontId="37" fillId="9" borderId="17" xfId="0" applyFont="1" applyFill="1" applyBorder="1" applyAlignment="1">
      <alignment horizontal="center"/>
    </xf>
    <xf numFmtId="0" fontId="3" fillId="0" borderId="0" xfId="0" applyFont="1" applyAlignment="1">
      <alignment vertical="top" wrapText="1"/>
    </xf>
    <xf numFmtId="0" fontId="6" fillId="0" borderId="0" xfId="0" applyFont="1" applyAlignment="1">
      <alignment horizontal="center" vertical="center"/>
    </xf>
    <xf numFmtId="0" fontId="8" fillId="0" borderId="0" xfId="0" applyFont="1" applyAlignment="1">
      <alignment horizontal="center"/>
    </xf>
    <xf numFmtId="0" fontId="3" fillId="0" borderId="0" xfId="0" applyFont="1" applyAlignment="1">
      <alignment wrapText="1"/>
    </xf>
    <xf numFmtId="0" fontId="3" fillId="2" borderId="0" xfId="0" applyFont="1" applyFill="1" applyBorder="1" applyAlignment="1">
      <alignment horizontal="left"/>
    </xf>
    <xf numFmtId="0" fontId="3" fillId="3" borderId="0" xfId="0" applyFont="1" applyFill="1" applyAlignment="1">
      <alignment horizontal="centerContinuous"/>
    </xf>
    <xf numFmtId="0" fontId="3" fillId="2" borderId="0" xfId="0" applyFont="1" applyFill="1" applyBorder="1"/>
    <xf numFmtId="0" fontId="3" fillId="5" borderId="0" xfId="0" applyFont="1" applyFill="1" applyBorder="1"/>
    <xf numFmtId="0" fontId="3" fillId="2" borderId="4" xfId="0" applyFont="1" applyFill="1" applyBorder="1"/>
    <xf numFmtId="0" fontId="3" fillId="6" borderId="0" xfId="0" applyFont="1" applyFill="1" applyBorder="1" applyAlignment="1">
      <alignment vertical="top"/>
    </xf>
    <xf numFmtId="178" fontId="3" fillId="8" borderId="0" xfId="0" applyNumberFormat="1" applyFont="1" applyFill="1" applyAlignment="1">
      <alignment horizontal="right"/>
    </xf>
    <xf numFmtId="0" fontId="3" fillId="8" borderId="0" xfId="0" applyFont="1" applyFill="1" applyAlignment="1">
      <alignment horizontal="right"/>
    </xf>
    <xf numFmtId="0" fontId="37" fillId="8" borderId="29" xfId="0" applyFont="1" applyFill="1" applyBorder="1" applyAlignment="1">
      <alignment wrapText="1"/>
    </xf>
    <xf numFmtId="0" fontId="3" fillId="0" borderId="0" xfId="0" applyFont="1" applyAlignment="1">
      <alignment horizontal="right"/>
    </xf>
    <xf numFmtId="0" fontId="6" fillId="6" borderId="0" xfId="0" applyFont="1" applyFill="1" applyBorder="1"/>
    <xf numFmtId="0" fontId="38" fillId="8" borderId="0" xfId="0" applyFont="1" applyFill="1"/>
    <xf numFmtId="194" fontId="3" fillId="0" borderId="17" xfId="0" applyNumberFormat="1" applyFont="1" applyBorder="1" applyAlignment="1" applyProtection="1">
      <alignment horizontal="center"/>
      <protection locked="0"/>
    </xf>
    <xf numFmtId="0" fontId="32" fillId="2" borderId="0" xfId="0" applyFont="1" applyFill="1" applyBorder="1"/>
    <xf numFmtId="194" fontId="1" fillId="8" borderId="17" xfId="0" applyNumberFormat="1" applyFont="1" applyFill="1" applyBorder="1" applyAlignment="1" applyProtection="1">
      <alignment horizontal="center"/>
      <protection locked="0"/>
    </xf>
    <xf numFmtId="194" fontId="0" fillId="8" borderId="0" xfId="0" applyNumberFormat="1" applyFill="1" applyAlignment="1">
      <alignment horizontal="left"/>
    </xf>
    <xf numFmtId="194" fontId="19" fillId="6" borderId="0" xfId="0" applyNumberFormat="1" applyFont="1" applyFill="1" applyBorder="1" applyAlignment="1">
      <alignment horizontal="left"/>
    </xf>
    <xf numFmtId="0" fontId="28" fillId="4" borderId="8" xfId="0" applyFont="1" applyFill="1" applyBorder="1" applyAlignment="1">
      <alignment horizontal="right"/>
    </xf>
    <xf numFmtId="194" fontId="37" fillId="8" borderId="17" xfId="0" applyNumberFormat="1" applyFont="1" applyFill="1" applyBorder="1" applyAlignment="1" applyProtection="1">
      <alignment horizontal="center"/>
      <protection locked="0"/>
    </xf>
    <xf numFmtId="0" fontId="43" fillId="8" borderId="0" xfId="0" applyFont="1" applyFill="1"/>
    <xf numFmtId="0" fontId="43" fillId="6" borderId="0" xfId="0" applyFont="1" applyFill="1" applyBorder="1"/>
    <xf numFmtId="0" fontId="43" fillId="6" borderId="24" xfId="0" applyFont="1" applyFill="1" applyBorder="1"/>
    <xf numFmtId="0" fontId="6" fillId="4" borderId="2" xfId="0" applyNumberFormat="1" applyFont="1" applyFill="1" applyBorder="1" applyAlignment="1">
      <alignment horizontal="right"/>
    </xf>
    <xf numFmtId="0" fontId="0" fillId="0" borderId="0" xfId="0" applyFill="1"/>
    <xf numFmtId="0" fontId="0" fillId="0" borderId="0" xfId="0" applyFill="1" applyBorder="1"/>
    <xf numFmtId="0" fontId="5" fillId="0" borderId="0" xfId="0" applyFont="1" applyFill="1" applyBorder="1" applyAlignment="1">
      <alignment horizontal="centerContinuous"/>
    </xf>
    <xf numFmtId="0" fontId="44" fillId="2" borderId="0" xfId="0" applyFont="1" applyFill="1" applyBorder="1"/>
    <xf numFmtId="0" fontId="3" fillId="0" borderId="1" xfId="0" applyFont="1" applyFill="1" applyBorder="1" applyAlignment="1" applyProtection="1">
      <alignment vertical="top"/>
      <protection locked="0"/>
    </xf>
    <xf numFmtId="0" fontId="3" fillId="0" borderId="2" xfId="0" applyFont="1" applyFill="1" applyBorder="1" applyAlignment="1" applyProtection="1">
      <alignment vertical="top"/>
      <protection locked="0"/>
    </xf>
    <xf numFmtId="0" fontId="3" fillId="0" borderId="8" xfId="0" applyFont="1" applyFill="1" applyBorder="1" applyAlignment="1" applyProtection="1">
      <alignment vertical="top"/>
      <protection locked="0"/>
    </xf>
    <xf numFmtId="0" fontId="3" fillId="0" borderId="5" xfId="0" applyFont="1" applyFill="1" applyBorder="1" applyAlignment="1" applyProtection="1">
      <alignment vertical="top"/>
      <protection locked="0"/>
    </xf>
    <xf numFmtId="0" fontId="3" fillId="0" borderId="6" xfId="0" applyFont="1" applyFill="1" applyBorder="1" applyAlignment="1" applyProtection="1">
      <alignment vertical="top"/>
      <protection locked="0"/>
    </xf>
    <xf numFmtId="0" fontId="3" fillId="0" borderId="7" xfId="0" applyFont="1" applyFill="1" applyBorder="1" applyAlignment="1" applyProtection="1">
      <alignment vertical="top"/>
      <protection locked="0"/>
    </xf>
    <xf numFmtId="0" fontId="37" fillId="8" borderId="33" xfId="0" applyFont="1" applyFill="1" applyBorder="1" applyAlignment="1" applyProtection="1">
      <alignment horizontal="left"/>
      <protection locked="0"/>
    </xf>
    <xf numFmtId="0" fontId="1" fillId="8" borderId="34" xfId="0" applyFont="1" applyFill="1" applyBorder="1" applyAlignment="1" applyProtection="1">
      <alignment horizontal="left"/>
      <protection locked="0"/>
    </xf>
    <xf numFmtId="0" fontId="1" fillId="8" borderId="35" xfId="0" applyFont="1" applyFill="1" applyBorder="1" applyAlignment="1" applyProtection="1">
      <alignment horizontal="left"/>
      <protection locked="0"/>
    </xf>
    <xf numFmtId="0" fontId="1" fillId="8" borderId="33" xfId="0" applyFont="1" applyFill="1" applyBorder="1" applyAlignment="1" applyProtection="1">
      <alignment horizontal="left"/>
      <protection locked="0"/>
    </xf>
    <xf numFmtId="0" fontId="1" fillId="0" borderId="33"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35" xfId="0" applyFont="1" applyBorder="1" applyAlignment="1" applyProtection="1">
      <alignment horizontal="left"/>
      <protection locked="0"/>
    </xf>
    <xf numFmtId="0" fontId="37" fillId="0" borderId="33" xfId="0" applyFont="1" applyBorder="1" applyAlignment="1" applyProtection="1">
      <alignment horizontal="left"/>
      <protection locked="0"/>
    </xf>
    <xf numFmtId="0" fontId="0" fillId="0" borderId="33" xfId="0" applyBorder="1" applyAlignment="1" applyProtection="1">
      <alignment horizontal="left"/>
      <protection locked="0"/>
    </xf>
    <xf numFmtId="0" fontId="0" fillId="0" borderId="34" xfId="0" applyBorder="1" applyAlignment="1" applyProtection="1">
      <alignment horizontal="left"/>
      <protection locked="0"/>
    </xf>
    <xf numFmtId="0" fontId="0" fillId="0" borderId="35" xfId="0" applyBorder="1" applyAlignment="1" applyProtection="1">
      <alignment horizontal="left"/>
      <protection locked="0"/>
    </xf>
    <xf numFmtId="0" fontId="0" fillId="8" borderId="33" xfId="0" applyFill="1" applyBorder="1" applyAlignment="1" applyProtection="1">
      <alignment horizontal="left"/>
      <protection locked="0"/>
    </xf>
    <xf numFmtId="0" fontId="0" fillId="8" borderId="34" xfId="0" applyFill="1" applyBorder="1" applyAlignment="1" applyProtection="1">
      <alignment horizontal="left"/>
      <protection locked="0"/>
    </xf>
    <xf numFmtId="0" fontId="0" fillId="8" borderId="35" xfId="0" applyFill="1" applyBorder="1" applyAlignment="1" applyProtection="1">
      <alignment horizontal="left"/>
      <protection locked="0"/>
    </xf>
    <xf numFmtId="49" fontId="37" fillId="0" borderId="33"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35" xfId="0" applyNumberFormat="1" applyFont="1" applyBorder="1" applyAlignment="1" applyProtection="1">
      <alignment horizontal="left"/>
      <protection locked="0"/>
    </xf>
    <xf numFmtId="0" fontId="40" fillId="2" borderId="0" xfId="0" applyFont="1" applyFill="1" applyBorder="1" applyAlignment="1">
      <alignment horizontal="left" vertical="top" wrapText="1"/>
    </xf>
    <xf numFmtId="0" fontId="40" fillId="2" borderId="4" xfId="0" applyFont="1" applyFill="1" applyBorder="1" applyAlignment="1">
      <alignment horizontal="left" vertical="top" wrapText="1"/>
    </xf>
    <xf numFmtId="0" fontId="0" fillId="4" borderId="6" xfId="0" applyFill="1" applyBorder="1" applyAlignment="1">
      <alignment horizontal="center"/>
    </xf>
    <xf numFmtId="0" fontId="35" fillId="0" borderId="0" xfId="0" applyFont="1" applyAlignment="1">
      <alignment horizontal="center"/>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Lookup!$F$3" fmlaRange="Lookup!$E$3:$E$6" noThreeD="1" sel="1" val="0"/>
</file>

<file path=xl/ctrlProps/ctrlProp10.xml><?xml version="1.0" encoding="utf-8"?>
<formControlPr xmlns="http://schemas.microsoft.com/office/spreadsheetml/2009/9/main" objectType="Drop" dropStyle="combo" dx="31" fmlaLink="Lookup!$C$3" fmlaRange="Lookup!$B$3:$B$4" noThreeD="1" sel="2" val="0"/>
</file>

<file path=xl/ctrlProps/ctrlProp11.xml><?xml version="1.0" encoding="utf-8"?>
<formControlPr xmlns="http://schemas.microsoft.com/office/spreadsheetml/2009/9/main" objectType="Drop" dropStyle="combo" dx="31" fmlaLink="Lookup!$F$13" fmlaRange="Lookup!$E$13:$E$14" noThreeD="1" sel="2" val="0"/>
</file>

<file path=xl/ctrlProps/ctrlProp12.xml><?xml version="1.0" encoding="utf-8"?>
<formControlPr xmlns="http://schemas.microsoft.com/office/spreadsheetml/2009/9/main" objectType="Drop" dropStyle="combo" dx="31" fmlaLink="Lookup!$F$14" fmlaRange="Lookup!$E$13:$E$14" noThreeD="1" sel="2" val="0"/>
</file>

<file path=xl/ctrlProps/ctrlProp13.xml><?xml version="1.0" encoding="utf-8"?>
<formControlPr xmlns="http://schemas.microsoft.com/office/spreadsheetml/2009/9/main" objectType="Drop" dropStyle="combo" dx="31" fmlaLink="Lookup!$G$19" fmlaRange="Lookup!$F$19:$F$20" noThreeD="1" sel="2" val="0"/>
</file>

<file path=xl/ctrlProps/ctrlProp14.xml><?xml version="1.0" encoding="utf-8"?>
<formControlPr xmlns="http://schemas.microsoft.com/office/spreadsheetml/2009/9/main" objectType="Drop" dropStyle="combo" dx="31" fmlaLink="Lookup!$G$29" fmlaRange="Lookup!$F$29:$F$30" noThreeD="1" sel="0" val="0"/>
</file>

<file path=xl/ctrlProps/ctrlProp2.xml><?xml version="1.0" encoding="utf-8"?>
<formControlPr xmlns="http://schemas.microsoft.com/office/spreadsheetml/2009/9/main" objectType="Drop" dropStyle="combo" dx="31" fmlaLink="Lookup!$C$5" fmlaRange="Lookup!$B$3:$B$4" noThreeD="1" sel="2" val="0"/>
</file>

<file path=xl/ctrlProps/ctrlProp3.xml><?xml version="1.0" encoding="utf-8"?>
<formControlPr xmlns="http://schemas.microsoft.com/office/spreadsheetml/2009/9/main" objectType="Drop" dropStyle="combo" dx="31" fmlaLink="Lookup!$C$6" fmlaRange="Lookup!$B$3:$B$4" noThreeD="1" sel="2" val="0"/>
</file>

<file path=xl/ctrlProps/ctrlProp4.xml><?xml version="1.0" encoding="utf-8"?>
<formControlPr xmlns="http://schemas.microsoft.com/office/spreadsheetml/2009/9/main" objectType="Drop" dropStyle="combo" dx="31" fmlaLink="Lookup!$C$7" fmlaRange="Lookup!$B$3:$B$4" noThreeD="1" sel="2" val="0"/>
</file>

<file path=xl/ctrlProps/ctrlProp5.xml><?xml version="1.0" encoding="utf-8"?>
<formControlPr xmlns="http://schemas.microsoft.com/office/spreadsheetml/2009/9/main" objectType="Drop" dropStyle="combo" dx="31" fmlaLink="Lookup!$C$8" fmlaRange="Lookup!$B$3:$B$4" noThreeD="1" sel="2" val="0"/>
</file>

<file path=xl/ctrlProps/ctrlProp6.xml><?xml version="1.0" encoding="utf-8"?>
<formControlPr xmlns="http://schemas.microsoft.com/office/spreadsheetml/2009/9/main" objectType="Drop" dropStyle="combo" dx="31" fmlaLink="Lookup!$H$3" fmlaRange="Lookup!$G$3:$G$4" noThreeD="1" sel="1" val="0"/>
</file>

<file path=xl/ctrlProps/ctrlProp7.xml><?xml version="1.0" encoding="utf-8"?>
<formControlPr xmlns="http://schemas.microsoft.com/office/spreadsheetml/2009/9/main" objectType="Drop" dropStyle="combo" dx="31" fmlaLink="Lookup!$H$9" fmlaRange="Lookup!$G$9:$G$11" noThreeD="1" sel="1" val="0"/>
</file>

<file path=xl/ctrlProps/ctrlProp8.xml><?xml version="1.0" encoding="utf-8"?>
<formControlPr xmlns="http://schemas.microsoft.com/office/spreadsheetml/2009/9/main" objectType="Drop" dropStyle="combo" dx="31" fmlaLink="Lookup!$F$15" fmlaRange="Lookup!$E$13:$E$14" noThreeD="1" sel="1" val="0"/>
</file>

<file path=xl/ctrlProps/ctrlProp9.xml><?xml version="1.0" encoding="utf-8"?>
<formControlPr xmlns="http://schemas.microsoft.com/office/spreadsheetml/2009/9/main" objectType="Drop" dropStyle="combo" dx="31" fmlaLink="Lookup!$G$25" fmlaRange="Lookup!$F$25:$F$2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2717800</xdr:colOff>
      <xdr:row>1</xdr:row>
      <xdr:rowOff>152400</xdr:rowOff>
    </xdr:from>
    <xdr:to>
      <xdr:col>0</xdr:col>
      <xdr:colOff>4622800</xdr:colOff>
      <xdr:row>14</xdr:row>
      <xdr:rowOff>6350</xdr:rowOff>
    </xdr:to>
    <xdr:pic>
      <xdr:nvPicPr>
        <xdr:cNvPr id="1122" name="Picture 4" descr="NMILogoStackedRGB -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7800" y="311150"/>
          <a:ext cx="1905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1676400</xdr:colOff>
          <xdr:row>15</xdr:row>
          <xdr:rowOff>25400</xdr:rowOff>
        </xdr:from>
        <xdr:to>
          <xdr:col>14</xdr:col>
          <xdr:colOff>184150</xdr:colOff>
          <xdr:row>17</xdr:row>
          <xdr:rowOff>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222250</xdr:colOff>
          <xdr:row>34</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209550</xdr:colOff>
          <xdr:row>34</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9</xdr:col>
          <xdr:colOff>25400</xdr:colOff>
          <xdr:row>45</xdr:row>
          <xdr:rowOff>0</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13</xdr:col>
          <xdr:colOff>387350</xdr:colOff>
          <xdr:row>45</xdr:row>
          <xdr:rowOff>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152400</xdr:colOff>
          <xdr:row>19</xdr:row>
          <xdr:rowOff>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11</xdr:col>
          <xdr:colOff>152400</xdr:colOff>
          <xdr:row>21</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6350</xdr:colOff>
          <xdr:row>28</xdr:row>
          <xdr:rowOff>0</xdr:rowOff>
        </xdr:to>
        <xdr:sp macro="" textlink="">
          <xdr:nvSpPr>
            <xdr:cNvPr id="2057" name="Drop Down 9" hidden="1">
              <a:extLst>
                <a:ext uri="{63B3BB69-23CF-44E3-9099-C40C66FF867C}">
                  <a14:compatExt spid="_x0000_s2057"/>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25400</xdr:rowOff>
        </xdr:from>
        <xdr:to>
          <xdr:col>11</xdr:col>
          <xdr:colOff>152400</xdr:colOff>
          <xdr:row>23</xdr:row>
          <xdr:rowOff>0</xdr:rowOff>
        </xdr:to>
        <xdr:sp macro="" textlink="">
          <xdr:nvSpPr>
            <xdr:cNvPr id="2058" name="Drop Down 10" hidden="1">
              <a:extLst>
                <a:ext uri="{63B3BB69-23CF-44E3-9099-C40C66FF867C}">
                  <a14:compatExt spid="_x0000_s2058"/>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88900</xdr:colOff>
          <xdr:row>12</xdr:row>
          <xdr:rowOff>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6350</xdr:colOff>
          <xdr:row>20</xdr:row>
          <xdr:rowOff>12700</xdr:rowOff>
        </xdr:to>
        <xdr:sp macro="" textlink="">
          <xdr:nvSpPr>
            <xdr:cNvPr id="3074" name="Drop Down 2" hidden="1">
              <a:extLst>
                <a:ext uri="{63B3BB69-23CF-44E3-9099-C40C66FF867C}">
                  <a14:compatExt spid="_x0000_s3074"/>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6350</xdr:colOff>
          <xdr:row>37</xdr:row>
          <xdr:rowOff>12700</xdr:rowOff>
        </xdr:to>
        <xdr:sp macro="" textlink="">
          <xdr:nvSpPr>
            <xdr:cNvPr id="3075" name="Drop Down 3" hidden="1">
              <a:extLst>
                <a:ext uri="{63B3BB69-23CF-44E3-9099-C40C66FF867C}">
                  <a14:compatExt spid="_x0000_s307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6350</xdr:colOff>
          <xdr:row>40</xdr:row>
          <xdr:rowOff>12700</xdr:rowOff>
        </xdr:to>
        <xdr:sp macro="" textlink="">
          <xdr:nvSpPr>
            <xdr:cNvPr id="3076" name="Drop Down 4" hidden="1">
              <a:extLst>
                <a:ext uri="{63B3BB69-23CF-44E3-9099-C40C66FF867C}">
                  <a14:compatExt spid="_x0000_s3076"/>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6350</xdr:colOff>
          <xdr:row>11</xdr:row>
          <xdr:rowOff>12700</xdr:rowOff>
        </xdr:to>
        <xdr:sp macro="" textlink="">
          <xdr:nvSpPr>
            <xdr:cNvPr id="3080" name="Drop Down 8" hidden="1">
              <a:extLst>
                <a:ext uri="{63B3BB69-23CF-44E3-9099-C40C66FF867C}">
                  <a14:compatExt spid="_x0000_s308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32"/>
  <sheetViews>
    <sheetView showGridLines="0" workbookViewId="0">
      <selection activeCell="A15" sqref="A15"/>
    </sheetView>
  </sheetViews>
  <sheetFormatPr defaultRowHeight="12.5"/>
  <cols>
    <col min="1" max="1" width="101.6328125" customWidth="1"/>
    <col min="2" max="2" width="1.453125" hidden="1" customWidth="1"/>
    <col min="3" max="3" width="2.54296875" hidden="1" customWidth="1"/>
    <col min="4" max="7" width="0" hidden="1" customWidth="1"/>
    <col min="8" max="8" width="6.453125" customWidth="1"/>
    <col min="9" max="9" width="8.6328125" bestFit="1" customWidth="1"/>
  </cols>
  <sheetData>
    <row r="1" spans="1:9">
      <c r="H1" s="162"/>
      <c r="I1" s="1"/>
    </row>
    <row r="2" spans="1:9">
      <c r="H2" s="217" t="s">
        <v>231</v>
      </c>
      <c r="I2" s="218">
        <v>44488</v>
      </c>
    </row>
    <row r="3" spans="1:9">
      <c r="H3" s="1"/>
      <c r="I3" s="163"/>
    </row>
    <row r="4" spans="1:9">
      <c r="H4" s="1"/>
      <c r="I4" s="163"/>
    </row>
    <row r="5" spans="1:9">
      <c r="H5" s="1"/>
      <c r="I5" s="163"/>
    </row>
    <row r="6" spans="1:9" ht="17.5">
      <c r="A6" s="216"/>
      <c r="B6" s="212"/>
      <c r="C6" s="212"/>
      <c r="D6" s="212"/>
      <c r="E6" s="212"/>
      <c r="F6" s="212"/>
      <c r="G6" s="212"/>
      <c r="H6" s="212"/>
      <c r="I6" s="213"/>
    </row>
    <row r="9" spans="1:9">
      <c r="A9" s="1"/>
    </row>
    <row r="15" spans="1:9">
      <c r="A15" s="263"/>
    </row>
    <row r="16" spans="1:9">
      <c r="A16" s="263" t="s">
        <v>236</v>
      </c>
      <c r="B16" s="95"/>
      <c r="C16" s="95"/>
      <c r="D16" s="95"/>
      <c r="E16" s="95"/>
      <c r="F16" s="95"/>
      <c r="G16" s="95"/>
      <c r="H16" s="95"/>
      <c r="I16" s="95"/>
    </row>
    <row r="17" spans="1:9">
      <c r="A17" s="1"/>
    </row>
    <row r="18" spans="1:9" ht="18">
      <c r="A18" s="264" t="s">
        <v>237</v>
      </c>
      <c r="B18" s="95"/>
      <c r="C18" s="95"/>
      <c r="D18" s="95"/>
      <c r="E18" s="95"/>
      <c r="F18" s="95"/>
      <c r="G18" s="95"/>
      <c r="H18" s="95"/>
      <c r="I18" s="95"/>
    </row>
    <row r="20" spans="1:9">
      <c r="A20" s="265" t="s">
        <v>238</v>
      </c>
    </row>
    <row r="21" spans="1:9">
      <c r="A21" s="219" t="s">
        <v>190</v>
      </c>
    </row>
    <row r="22" spans="1:9">
      <c r="A22" s="219"/>
    </row>
    <row r="23" spans="1:9" ht="37.5">
      <c r="A23" s="219" t="s">
        <v>191</v>
      </c>
      <c r="B23" s="95"/>
      <c r="C23" s="95"/>
      <c r="D23" s="95"/>
      <c r="E23" s="95"/>
      <c r="F23" s="95"/>
      <c r="G23" s="95"/>
      <c r="H23" s="95"/>
      <c r="I23" s="95"/>
    </row>
    <row r="24" spans="1:9" ht="11.5" customHeight="1">
      <c r="A24" s="219"/>
      <c r="B24" s="95"/>
      <c r="C24" s="95"/>
      <c r="D24" s="95"/>
      <c r="E24" s="95"/>
      <c r="F24" s="95"/>
      <c r="G24" s="95"/>
      <c r="H24" s="95"/>
      <c r="I24" s="95"/>
    </row>
    <row r="25" spans="1:9" ht="29.5" customHeight="1">
      <c r="A25" s="219" t="s">
        <v>192</v>
      </c>
      <c r="B25" s="95"/>
      <c r="C25" s="95"/>
      <c r="D25" s="95"/>
      <c r="E25" s="95"/>
      <c r="F25" s="95"/>
      <c r="G25" s="95"/>
      <c r="H25" s="95"/>
      <c r="I25" s="95"/>
    </row>
    <row r="26" spans="1:9">
      <c r="A26" s="219"/>
      <c r="B26" s="95"/>
      <c r="C26" s="95"/>
      <c r="D26" s="95"/>
      <c r="E26" s="95"/>
      <c r="F26" s="95"/>
      <c r="G26" s="95"/>
      <c r="H26" s="95"/>
      <c r="I26" s="95"/>
    </row>
    <row r="27" spans="1:9" ht="25">
      <c r="A27" s="219" t="s">
        <v>193</v>
      </c>
    </row>
    <row r="28" spans="1:9">
      <c r="A28" s="219"/>
    </row>
    <row r="29" spans="1:9" ht="25">
      <c r="A29" s="219" t="s">
        <v>194</v>
      </c>
    </row>
    <row r="31" spans="1:9">
      <c r="A31" s="95"/>
      <c r="B31" s="95"/>
      <c r="C31" s="95"/>
      <c r="D31" s="95"/>
      <c r="E31" s="95"/>
      <c r="F31" s="95"/>
      <c r="G31" s="95"/>
      <c r="H31" s="95"/>
      <c r="I31" s="95"/>
    </row>
    <row r="32" spans="1:9">
      <c r="A32" s="95"/>
      <c r="B32" s="95"/>
      <c r="C32" s="95"/>
      <c r="D32" s="95"/>
      <c r="E32" s="95"/>
      <c r="F32" s="95"/>
      <c r="G32" s="95"/>
      <c r="H32" s="95"/>
      <c r="I32" s="95"/>
    </row>
  </sheetData>
  <sheetProtection password="CC40" sheet="1"/>
  <phoneticPr fontId="0" type="noConversion"/>
  <pageMargins left="0.75" right="0.75" top="0.59" bottom="1" header="0.4" footer="0.5"/>
  <pageSetup scale="78" orientation="portrait" r:id="rId1"/>
  <headerFooter alignWithMargins="0">
    <oddFooter>&amp;CPage ... /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6"/>
  <sheetViews>
    <sheetView workbookViewId="0">
      <selection activeCell="E19" sqref="E19"/>
    </sheetView>
  </sheetViews>
  <sheetFormatPr defaultColWidth="8.90625" defaultRowHeight="12.5"/>
  <cols>
    <col min="1" max="1" width="10.08984375" style="244" bestFit="1" customWidth="1"/>
    <col min="2" max="2" width="10.08984375" style="244" customWidth="1"/>
    <col min="3" max="3" width="12.453125" style="244" customWidth="1"/>
    <col min="4" max="4" width="94.08984375" style="245" customWidth="1"/>
    <col min="5" max="16384" width="8.90625" style="244"/>
  </cols>
  <sheetData>
    <row r="1" spans="1:4">
      <c r="A1" s="244" t="s">
        <v>167</v>
      </c>
      <c r="B1" s="244" t="s">
        <v>168</v>
      </c>
      <c r="C1" s="244" t="s">
        <v>172</v>
      </c>
      <c r="D1" s="245" t="s">
        <v>170</v>
      </c>
    </row>
    <row r="2" spans="1:4">
      <c r="A2" s="246">
        <v>38048</v>
      </c>
      <c r="B2" s="244" t="s">
        <v>169</v>
      </c>
      <c r="C2" s="244" t="s">
        <v>166</v>
      </c>
      <c r="D2" s="245" t="s">
        <v>171</v>
      </c>
    </row>
    <row r="3" spans="1:4">
      <c r="A3" s="246">
        <v>38258</v>
      </c>
      <c r="B3" s="244" t="s">
        <v>175</v>
      </c>
      <c r="C3" s="244" t="s">
        <v>173</v>
      </c>
      <c r="D3" s="245" t="s">
        <v>177</v>
      </c>
    </row>
    <row r="4" spans="1:4">
      <c r="A4" s="246">
        <v>38272</v>
      </c>
      <c r="B4" s="244" t="s">
        <v>169</v>
      </c>
      <c r="C4" s="244" t="s">
        <v>176</v>
      </c>
      <c r="D4" s="245" t="s">
        <v>178</v>
      </c>
    </row>
    <row r="5" spans="1:4" ht="25">
      <c r="A5" s="246">
        <v>38624</v>
      </c>
      <c r="B5" s="244" t="s">
        <v>175</v>
      </c>
      <c r="C5" s="244" t="s">
        <v>179</v>
      </c>
      <c r="D5" s="245" t="s">
        <v>180</v>
      </c>
    </row>
    <row r="6" spans="1:4">
      <c r="A6" s="246">
        <v>38796</v>
      </c>
      <c r="B6" s="244" t="s">
        <v>175</v>
      </c>
      <c r="C6" s="244" t="s">
        <v>181</v>
      </c>
      <c r="D6" s="245" t="s">
        <v>182</v>
      </c>
    </row>
    <row r="7" spans="1:4">
      <c r="A7" s="246">
        <v>38931</v>
      </c>
      <c r="B7" s="244" t="s">
        <v>169</v>
      </c>
      <c r="C7" s="244" t="s">
        <v>183</v>
      </c>
      <c r="D7" s="245" t="s">
        <v>189</v>
      </c>
    </row>
    <row r="8" spans="1:4">
      <c r="A8" s="246">
        <v>39104</v>
      </c>
      <c r="B8" s="244" t="s">
        <v>175</v>
      </c>
      <c r="C8" s="244" t="s">
        <v>195</v>
      </c>
      <c r="D8" s="245" t="s">
        <v>196</v>
      </c>
    </row>
    <row r="9" spans="1:4">
      <c r="A9" s="246">
        <v>39469</v>
      </c>
      <c r="B9" s="244" t="s">
        <v>169</v>
      </c>
      <c r="C9" s="244" t="s">
        <v>197</v>
      </c>
      <c r="D9" s="245" t="s">
        <v>199</v>
      </c>
    </row>
    <row r="10" spans="1:4">
      <c r="A10" s="246">
        <v>39773</v>
      </c>
      <c r="B10" s="244" t="s">
        <v>200</v>
      </c>
      <c r="C10" s="244" t="s">
        <v>201</v>
      </c>
      <c r="D10" s="245" t="s">
        <v>202</v>
      </c>
    </row>
    <row r="11" spans="1:4">
      <c r="A11" s="246">
        <v>40196</v>
      </c>
      <c r="B11" s="244" t="s">
        <v>169</v>
      </c>
      <c r="C11" s="244" t="s">
        <v>203</v>
      </c>
      <c r="D11" s="245" t="s">
        <v>204</v>
      </c>
    </row>
    <row r="12" spans="1:4">
      <c r="A12" s="246">
        <v>40823</v>
      </c>
      <c r="B12" s="244" t="s">
        <v>169</v>
      </c>
      <c r="C12" s="244" t="s">
        <v>205</v>
      </c>
      <c r="D12" s="245" t="s">
        <v>206</v>
      </c>
    </row>
    <row r="13" spans="1:4" ht="25">
      <c r="A13" s="246">
        <v>40834</v>
      </c>
      <c r="B13" s="244" t="s">
        <v>169</v>
      </c>
      <c r="C13" s="244" t="s">
        <v>209</v>
      </c>
      <c r="D13" s="245" t="s">
        <v>210</v>
      </c>
    </row>
    <row r="14" spans="1:4" ht="25">
      <c r="A14" s="246">
        <v>40835</v>
      </c>
      <c r="B14" s="244" t="s">
        <v>169</v>
      </c>
      <c r="C14" s="244" t="s">
        <v>224</v>
      </c>
      <c r="D14" s="245" t="s">
        <v>225</v>
      </c>
    </row>
    <row r="15" spans="1:4">
      <c r="A15" s="246">
        <v>43167</v>
      </c>
      <c r="B15" s="244" t="s">
        <v>200</v>
      </c>
      <c r="C15" s="244" t="s">
        <v>226</v>
      </c>
      <c r="D15" t="s">
        <v>230</v>
      </c>
    </row>
    <row r="16" spans="1:4" ht="75">
      <c r="A16" s="246">
        <v>44414</v>
      </c>
      <c r="B16" s="256" t="s">
        <v>200</v>
      </c>
      <c r="C16" s="256" t="s">
        <v>231</v>
      </c>
      <c r="D16" s="262" t="s">
        <v>270</v>
      </c>
    </row>
  </sheetData>
  <sheetProtection password="CC40" sheet="1"/>
  <phoneticPr fontId="0"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61"/>
  <sheetViews>
    <sheetView showGridLines="0" tabSelected="1" zoomScale="95" workbookViewId="0">
      <selection activeCell="G7" sqref="G7:K7"/>
    </sheetView>
  </sheetViews>
  <sheetFormatPr defaultRowHeight="12.5"/>
  <cols>
    <col min="1" max="1" width="2.36328125" customWidth="1"/>
    <col min="2" max="2" width="2.1796875" customWidth="1"/>
    <col min="3" max="3" width="5.54296875" customWidth="1"/>
    <col min="4" max="4" width="9" customWidth="1"/>
    <col min="5" max="5" width="0" hidden="1" customWidth="1"/>
    <col min="6" max="6" width="24" customWidth="1"/>
    <col min="7" max="7" width="8.6328125" customWidth="1"/>
    <col min="8" max="8" width="3.36328125" customWidth="1"/>
    <col min="9" max="9" width="8.6328125" customWidth="1"/>
    <col min="10" max="10" width="3.36328125" customWidth="1"/>
    <col min="11" max="11" width="4.90625" customWidth="1"/>
    <col min="12" max="12" width="8.6328125" customWidth="1"/>
    <col min="13" max="13" width="3.36328125" customWidth="1"/>
    <col min="14" max="14" width="12.36328125" customWidth="1"/>
    <col min="15" max="15" width="10.1796875" customWidth="1"/>
    <col min="16" max="16" width="2.1796875" customWidth="1"/>
    <col min="17" max="17" width="3.90625" customWidth="1"/>
    <col min="18" max="22" width="0" hidden="1" customWidth="1"/>
    <col min="23" max="23" width="11.08984375" hidden="1" customWidth="1"/>
    <col min="24" max="34" width="0" hidden="1" customWidth="1"/>
  </cols>
  <sheetData>
    <row r="1" spans="1:18" ht="12.5" customHeight="1">
      <c r="A1" s="4"/>
      <c r="B1" s="4"/>
      <c r="C1" s="267" t="s">
        <v>174</v>
      </c>
      <c r="D1" s="6"/>
      <c r="E1" s="6"/>
      <c r="F1" s="6"/>
      <c r="G1" s="6"/>
      <c r="H1" s="6"/>
      <c r="I1" s="6"/>
      <c r="J1" s="6"/>
      <c r="K1" s="6"/>
      <c r="L1" s="6"/>
      <c r="M1" s="6"/>
      <c r="N1" s="6"/>
      <c r="O1" s="6"/>
      <c r="P1" s="6"/>
      <c r="Q1" s="4"/>
    </row>
    <row r="2" spans="1:18" ht="8" customHeight="1">
      <c r="A2" s="4"/>
      <c r="B2" s="4"/>
      <c r="C2" s="5"/>
      <c r="D2" s="6"/>
      <c r="E2" s="6"/>
      <c r="F2" s="6"/>
      <c r="G2" s="6"/>
      <c r="H2" s="6"/>
      <c r="I2" s="6"/>
      <c r="J2" s="6"/>
      <c r="K2" s="6"/>
      <c r="L2" s="6"/>
      <c r="M2" s="6"/>
      <c r="N2" s="6"/>
      <c r="O2" s="6"/>
      <c r="P2" s="6"/>
      <c r="Q2" s="4"/>
    </row>
    <row r="3" spans="1:18" ht="15.9" customHeight="1">
      <c r="A3" s="4"/>
      <c r="B3" s="151"/>
      <c r="C3" s="152"/>
      <c r="D3" s="153"/>
      <c r="E3" s="153"/>
      <c r="F3" s="153"/>
      <c r="G3" s="153"/>
      <c r="H3" s="153"/>
      <c r="I3" s="153"/>
      <c r="J3" s="153"/>
      <c r="K3" s="153"/>
      <c r="L3" s="153"/>
      <c r="M3" s="153"/>
      <c r="N3" s="155"/>
      <c r="O3" s="288" t="str">
        <f>ver</f>
        <v>Ver 21</v>
      </c>
      <c r="P3" s="154"/>
      <c r="Q3" s="4"/>
    </row>
    <row r="4" spans="1:18">
      <c r="A4" s="4"/>
      <c r="B4" s="9"/>
      <c r="C4" s="31"/>
      <c r="D4" s="32"/>
      <c r="E4" s="32"/>
      <c r="F4" s="32"/>
      <c r="G4" s="32"/>
      <c r="H4" s="32"/>
      <c r="I4" s="32"/>
      <c r="J4" s="32"/>
      <c r="K4" s="32"/>
      <c r="L4" s="32"/>
      <c r="M4" s="32"/>
      <c r="N4" s="32"/>
      <c r="O4" s="33"/>
      <c r="P4" s="10"/>
      <c r="Q4" s="4"/>
    </row>
    <row r="5" spans="1:18" ht="18">
      <c r="A5" s="4"/>
      <c r="B5" s="9"/>
      <c r="C5" s="34" t="s">
        <v>0</v>
      </c>
      <c r="D5" s="35"/>
      <c r="E5" s="35"/>
      <c r="F5" s="35"/>
      <c r="G5" s="35"/>
      <c r="H5" s="35"/>
      <c r="I5" s="35"/>
      <c r="J5" s="35"/>
      <c r="K5" s="35"/>
      <c r="L5" s="35"/>
      <c r="M5" s="35"/>
      <c r="N5" s="35"/>
      <c r="O5" s="78"/>
      <c r="P5" s="10"/>
      <c r="Q5" s="4"/>
    </row>
    <row r="6" spans="1:18" ht="12" customHeight="1">
      <c r="A6" s="4"/>
      <c r="B6" s="9"/>
      <c r="C6" s="34"/>
      <c r="D6" s="35"/>
      <c r="E6" s="35"/>
      <c r="F6" s="35"/>
      <c r="G6" s="35"/>
      <c r="H6" s="35"/>
      <c r="I6" s="35"/>
      <c r="J6" s="35"/>
      <c r="K6" s="35"/>
      <c r="L6" s="35"/>
      <c r="M6" s="35"/>
      <c r="N6" s="235"/>
      <c r="O6" s="78"/>
      <c r="P6" s="10"/>
      <c r="Q6" s="4"/>
    </row>
    <row r="7" spans="1:18" ht="15.9" customHeight="1">
      <c r="A7" s="4"/>
      <c r="B7" s="9"/>
      <c r="C7" s="36"/>
      <c r="D7" s="3"/>
      <c r="E7" s="3"/>
      <c r="F7" s="11" t="s">
        <v>1</v>
      </c>
      <c r="G7" s="299"/>
      <c r="H7" s="300"/>
      <c r="I7" s="300"/>
      <c r="J7" s="300"/>
      <c r="K7" s="301"/>
      <c r="L7" s="3"/>
      <c r="M7" s="11" t="s">
        <v>146</v>
      </c>
      <c r="N7" s="278"/>
      <c r="O7" s="270" t="s">
        <v>244</v>
      </c>
      <c r="P7" s="10"/>
      <c r="Q7" s="4"/>
    </row>
    <row r="8" spans="1:18" ht="15.9" customHeight="1">
      <c r="A8" s="4"/>
      <c r="B8" s="9"/>
      <c r="C8" s="36"/>
      <c r="D8" s="3"/>
      <c r="E8" s="3"/>
      <c r="F8" s="11" t="s">
        <v>2</v>
      </c>
      <c r="G8" s="302"/>
      <c r="H8" s="300"/>
      <c r="I8" s="300"/>
      <c r="J8" s="300"/>
      <c r="K8" s="301"/>
      <c r="L8" s="3"/>
      <c r="M8" s="279" t="str">
        <f ca="1">IF(AND($N$7&lt;&gt;"",$N$7&lt;&gt;TODAY()),"Note: Date different from today","")</f>
        <v/>
      </c>
      <c r="N8" s="230"/>
      <c r="O8" s="37"/>
      <c r="P8" s="10"/>
      <c r="Q8" s="4"/>
    </row>
    <row r="9" spans="1:18" ht="15.9" customHeight="1">
      <c r="A9" s="4"/>
      <c r="B9" s="9"/>
      <c r="C9" s="36"/>
      <c r="D9" s="3"/>
      <c r="E9" s="3"/>
      <c r="F9" s="11" t="s">
        <v>3</v>
      </c>
      <c r="G9" s="303"/>
      <c r="H9" s="304"/>
      <c r="I9" s="304"/>
      <c r="J9" s="304"/>
      <c r="K9" s="305"/>
      <c r="L9" s="3"/>
      <c r="M9" s="3"/>
      <c r="N9" s="3"/>
      <c r="O9" s="37"/>
      <c r="P9" s="10"/>
      <c r="Q9" s="4"/>
    </row>
    <row r="10" spans="1:18" ht="15.9" customHeight="1">
      <c r="A10" s="4"/>
      <c r="B10" s="9"/>
      <c r="C10" s="36"/>
      <c r="D10" s="3"/>
      <c r="E10" s="3"/>
      <c r="F10" s="161" t="s">
        <v>4</v>
      </c>
      <c r="G10" s="302"/>
      <c r="H10" s="300"/>
      <c r="I10" s="300"/>
      <c r="J10" s="300"/>
      <c r="K10" s="301"/>
      <c r="L10" s="3"/>
      <c r="M10" s="3"/>
      <c r="N10" s="3"/>
      <c r="O10" s="37"/>
      <c r="P10" s="10"/>
      <c r="Q10" s="4"/>
    </row>
    <row r="11" spans="1:18" ht="15.9" customHeight="1">
      <c r="A11" s="4"/>
      <c r="B11" s="9"/>
      <c r="C11" s="36"/>
      <c r="D11" s="3"/>
      <c r="E11" s="3"/>
      <c r="F11" s="22" t="s">
        <v>251</v>
      </c>
      <c r="G11" s="306"/>
      <c r="H11" s="304"/>
      <c r="I11" s="304"/>
      <c r="J11" s="304"/>
      <c r="K11" s="305"/>
      <c r="L11" s="3"/>
      <c r="M11" s="3"/>
      <c r="N11" s="3"/>
      <c r="O11" s="37"/>
      <c r="P11" s="10"/>
      <c r="Q11" s="4"/>
    </row>
    <row r="12" spans="1:18" ht="15.9" customHeight="1">
      <c r="A12" s="4"/>
      <c r="B12" s="9"/>
      <c r="C12" s="36"/>
      <c r="D12" s="3"/>
      <c r="E12" s="3"/>
      <c r="F12" s="22" t="s">
        <v>252</v>
      </c>
      <c r="G12" s="306"/>
      <c r="H12" s="304"/>
      <c r="I12" s="304"/>
      <c r="J12" s="304"/>
      <c r="K12" s="305"/>
      <c r="L12" s="292"/>
      <c r="M12" s="3"/>
      <c r="N12" s="3"/>
      <c r="O12" s="37"/>
      <c r="P12" s="10"/>
      <c r="Q12" s="4"/>
      <c r="R12" s="23"/>
    </row>
    <row r="13" spans="1:18" ht="15.9" customHeight="1">
      <c r="A13" s="4"/>
      <c r="B13" s="9"/>
      <c r="C13" s="36"/>
      <c r="D13" s="3"/>
      <c r="E13" s="3"/>
      <c r="F13" s="22" t="s">
        <v>241</v>
      </c>
      <c r="G13" s="284"/>
      <c r="H13" s="268" t="s">
        <v>244</v>
      </c>
      <c r="I13" s="3"/>
      <c r="J13" s="3"/>
      <c r="K13" s="3"/>
      <c r="L13" s="3"/>
      <c r="M13" s="3"/>
      <c r="N13" s="3"/>
      <c r="O13" s="37"/>
      <c r="P13" s="10"/>
      <c r="Q13" s="4"/>
      <c r="R13" s="156"/>
    </row>
    <row r="14" spans="1:18" ht="15.9" customHeight="1">
      <c r="A14" s="4"/>
      <c r="B14" s="9"/>
      <c r="C14" s="36"/>
      <c r="D14" s="3"/>
      <c r="E14" s="3"/>
      <c r="F14" s="11" t="s">
        <v>5</v>
      </c>
      <c r="G14" s="303"/>
      <c r="H14" s="304"/>
      <c r="I14" s="304"/>
      <c r="J14" s="305"/>
      <c r="K14" s="3"/>
      <c r="L14" s="3"/>
      <c r="M14" s="3"/>
      <c r="N14" s="3"/>
      <c r="O14" s="37"/>
      <c r="P14" s="10"/>
      <c r="Q14" s="4"/>
      <c r="R14" s="156"/>
    </row>
    <row r="15" spans="1:18" ht="15.9" customHeight="1">
      <c r="A15" s="4"/>
      <c r="B15" s="9"/>
      <c r="C15" s="36"/>
      <c r="D15" s="93"/>
      <c r="E15" s="3"/>
      <c r="F15" s="11" t="s">
        <v>6</v>
      </c>
      <c r="G15" s="313"/>
      <c r="H15" s="314"/>
      <c r="I15" s="314"/>
      <c r="J15" s="315"/>
      <c r="K15" s="3"/>
      <c r="L15" s="3"/>
      <c r="M15" s="3"/>
      <c r="N15" s="3"/>
      <c r="O15" s="37"/>
      <c r="P15" s="10"/>
      <c r="Q15" s="4"/>
      <c r="R15" s="156"/>
    </row>
    <row r="16" spans="1:18" ht="2.15" customHeight="1">
      <c r="A16" s="4"/>
      <c r="B16" s="9"/>
      <c r="C16" s="36"/>
      <c r="D16" s="3"/>
      <c r="E16" s="3"/>
      <c r="F16" s="11"/>
      <c r="G16" s="199"/>
      <c r="H16" s="3"/>
      <c r="I16" s="3"/>
      <c r="J16" s="3"/>
      <c r="K16" s="3"/>
      <c r="L16" s="3"/>
      <c r="M16" s="3"/>
      <c r="N16" s="3"/>
      <c r="O16" s="37"/>
      <c r="P16" s="10"/>
      <c r="Q16" s="4"/>
    </row>
    <row r="17" spans="1:20" ht="15.75" customHeight="1">
      <c r="A17" s="4"/>
      <c r="B17" s="9"/>
      <c r="C17" s="36"/>
      <c r="D17" s="3"/>
      <c r="E17" s="3"/>
      <c r="F17" s="11" t="s">
        <v>7</v>
      </c>
      <c r="G17" s="310" t="str">
        <f>IF(Lookup!F3=1,"Manufacture of new instrument",IF(Lookup!$F$3=2,"Conversion of existing instrument - replace load cells",IF(Lookup!F3=3,"Conversion of existing instrument - replace indicator","Conversion of existing instrument - replace cells and  indicator")))</f>
        <v>Manufacture of new instrument</v>
      </c>
      <c r="H17" s="311"/>
      <c r="I17" s="311"/>
      <c r="J17" s="311"/>
      <c r="K17" s="311"/>
      <c r="L17" s="311"/>
      <c r="M17" s="311"/>
      <c r="N17" s="312"/>
      <c r="O17" s="37"/>
      <c r="P17" s="10"/>
      <c r="Q17" s="4"/>
    </row>
    <row r="18" spans="1:20" ht="2.15" customHeight="1">
      <c r="A18" s="4"/>
      <c r="B18" s="9"/>
      <c r="C18" s="36"/>
      <c r="D18" s="3"/>
      <c r="E18" s="3"/>
      <c r="F18" s="11"/>
      <c r="G18" s="200"/>
      <c r="H18" s="3"/>
      <c r="I18" s="3"/>
      <c r="J18" s="3"/>
      <c r="K18" s="3"/>
      <c r="L18" s="3"/>
      <c r="M18" s="3"/>
      <c r="N18" s="3"/>
      <c r="O18" s="37"/>
      <c r="P18" s="10"/>
      <c r="Q18" s="4"/>
    </row>
    <row r="19" spans="1:20" ht="15.65" customHeight="1">
      <c r="A19" s="4"/>
      <c r="B19" s="9"/>
      <c r="C19" s="36"/>
      <c r="D19" s="3"/>
      <c r="E19" s="3"/>
      <c r="F19" s="11" t="s">
        <v>8</v>
      </c>
      <c r="G19" s="307" t="str">
        <f>IF(Lookup!H3=1,"Full load cell","Lever / load cell")</f>
        <v>Full load cell</v>
      </c>
      <c r="H19" s="308"/>
      <c r="I19" s="308"/>
      <c r="J19" s="308"/>
      <c r="K19" s="309"/>
      <c r="L19" s="3"/>
      <c r="M19" s="316" t="str">
        <f>IF(OR(ISBLANK(inst_inst_no),inst_inst_no="N/A"),IF(AND(OR(Lookup!$F$3=4,Lookup!$F$3=2),Lookup!$H$3=1),"Full load cell instruments cannot be converted by change of load cells unless the converter has a Certificate of Approval to manufacture.",""),"")</f>
        <v/>
      </c>
      <c r="N19" s="316"/>
      <c r="O19" s="317"/>
      <c r="P19" s="10"/>
      <c r="Q19" s="4"/>
    </row>
    <row r="20" spans="1:20" ht="2.15" customHeight="1">
      <c r="A20" s="4"/>
      <c r="B20" s="9"/>
      <c r="C20" s="36"/>
      <c r="D20" s="3"/>
      <c r="E20" s="3"/>
      <c r="F20" s="11"/>
      <c r="G20" s="200"/>
      <c r="H20" s="3"/>
      <c r="I20" s="3"/>
      <c r="J20" s="3"/>
      <c r="K20" s="3"/>
      <c r="L20" s="3"/>
      <c r="M20" s="316"/>
      <c r="N20" s="316"/>
      <c r="O20" s="317"/>
      <c r="P20" s="10"/>
      <c r="Q20" s="4"/>
    </row>
    <row r="21" spans="1:20" ht="15.65" customHeight="1">
      <c r="A21" s="4"/>
      <c r="B21" s="9"/>
      <c r="C21" s="36"/>
      <c r="D21" s="3"/>
      <c r="E21" s="3"/>
      <c r="F21" s="11" t="s">
        <v>9</v>
      </c>
      <c r="G21" s="307" t="str">
        <f>IF(Lookup!H9=1,"Single range",IF(Lookup!H9=2,"Multiple range","Multi-interval"))</f>
        <v>Single range</v>
      </c>
      <c r="H21" s="308"/>
      <c r="I21" s="308"/>
      <c r="J21" s="308"/>
      <c r="K21" s="309"/>
      <c r="L21" s="3"/>
      <c r="M21" s="316"/>
      <c r="N21" s="316"/>
      <c r="O21" s="317"/>
      <c r="P21" s="10"/>
      <c r="Q21" s="4"/>
    </row>
    <row r="22" spans="1:20" ht="2.15" customHeight="1">
      <c r="A22" s="4"/>
      <c r="B22" s="9"/>
      <c r="C22" s="36"/>
      <c r="D22" s="3"/>
      <c r="E22" s="3"/>
      <c r="F22" s="11"/>
      <c r="G22" s="200"/>
      <c r="H22" s="3"/>
      <c r="I22" s="3"/>
      <c r="J22" s="3"/>
      <c r="K22" s="3"/>
      <c r="L22" s="3"/>
      <c r="M22" s="316"/>
      <c r="N22" s="316"/>
      <c r="O22" s="317"/>
      <c r="P22" s="10"/>
      <c r="Q22" s="4"/>
    </row>
    <row r="23" spans="1:20" ht="15" customHeight="1">
      <c r="A23" s="4"/>
      <c r="B23" s="9"/>
      <c r="C23" s="36"/>
      <c r="D23" s="3"/>
      <c r="E23" s="3"/>
      <c r="F23" s="11" t="s">
        <v>10</v>
      </c>
      <c r="G23" s="310" t="str">
        <f>IF(Lookup!$G$25=1,"Platform","Hopper")</f>
        <v>Platform</v>
      </c>
      <c r="H23" s="311"/>
      <c r="I23" s="311"/>
      <c r="J23" s="311"/>
      <c r="K23" s="312"/>
      <c r="L23" s="3"/>
      <c r="M23" s="316"/>
      <c r="N23" s="316"/>
      <c r="O23" s="317"/>
      <c r="P23" s="10"/>
      <c r="Q23" s="4"/>
    </row>
    <row r="24" spans="1:20" ht="15.9" customHeight="1">
      <c r="A24" s="4"/>
      <c r="B24" s="9"/>
      <c r="C24" s="36"/>
      <c r="D24" s="3"/>
      <c r="E24" s="3"/>
      <c r="F24" s="11" t="s">
        <v>11</v>
      </c>
      <c r="G24" s="201"/>
      <c r="H24" s="76"/>
      <c r="I24" s="80" t="str">
        <f>IF(AND(inst_N&gt;1,Lookup!H3=2),"WARNING!, N&gt;1 for lever / load cell.  Analysis will fail.","")</f>
        <v/>
      </c>
      <c r="J24" s="3"/>
      <c r="K24" s="3"/>
      <c r="L24" s="3"/>
      <c r="M24" s="316"/>
      <c r="N24" s="316"/>
      <c r="O24" s="317"/>
      <c r="P24" s="10"/>
      <c r="Q24" s="4"/>
      <c r="T24" s="101" t="s">
        <v>12</v>
      </c>
    </row>
    <row r="25" spans="1:20" ht="15.9" customHeight="1">
      <c r="A25" s="4"/>
      <c r="B25" s="9"/>
      <c r="C25" s="36"/>
      <c r="D25" s="3"/>
      <c r="E25" s="3"/>
      <c r="F25" s="11" t="s">
        <v>13</v>
      </c>
      <c r="G25" s="201"/>
      <c r="H25" s="76"/>
      <c r="I25" s="80" t="str">
        <f>IF(Lookup!H3=2,"","Do not complete this field.")</f>
        <v>Do not complete this field.</v>
      </c>
      <c r="J25" s="3"/>
      <c r="K25" s="3"/>
      <c r="L25" s="3"/>
      <c r="M25" s="3"/>
      <c r="N25" s="3"/>
      <c r="O25" s="37"/>
      <c r="P25" s="10"/>
      <c r="Q25" s="4"/>
      <c r="T25">
        <f>IF(Lookup!H3=1,1,inst_R)</f>
        <v>1</v>
      </c>
    </row>
    <row r="26" spans="1:20" ht="15.9" customHeight="1">
      <c r="A26" s="4"/>
      <c r="B26" s="9"/>
      <c r="C26" s="36"/>
      <c r="D26" s="3"/>
      <c r="E26" s="3"/>
      <c r="F26" s="11" t="s">
        <v>14</v>
      </c>
      <c r="G26" s="201"/>
      <c r="H26" s="76"/>
      <c r="I26" s="80" t="str">
        <f>IF(G24&lt;6,"Do not complete this field.","")</f>
        <v>Do not complete this field.</v>
      </c>
      <c r="J26" s="3"/>
      <c r="K26" s="3"/>
      <c r="L26" s="3"/>
      <c r="M26" s="3"/>
      <c r="N26" s="3"/>
      <c r="O26" s="37"/>
      <c r="P26" s="10"/>
      <c r="Q26" s="4"/>
    </row>
    <row r="27" spans="1:20" ht="15.9" customHeight="1">
      <c r="A27" s="4"/>
      <c r="B27" s="9"/>
      <c r="C27" s="36"/>
      <c r="D27" s="3"/>
      <c r="E27" s="3"/>
      <c r="F27" s="11" t="s">
        <v>15</v>
      </c>
      <c r="G27" s="201"/>
      <c r="H27" s="76" t="s">
        <v>16</v>
      </c>
      <c r="I27" s="80" t="str">
        <f>IF(Lookup!H3=2,"At the load cell.","")</f>
        <v/>
      </c>
      <c r="J27" s="3"/>
      <c r="K27" s="3"/>
      <c r="L27" s="3"/>
      <c r="M27" s="3"/>
      <c r="N27" s="3"/>
      <c r="O27" s="37"/>
      <c r="P27" s="10"/>
      <c r="Q27" s="4"/>
    </row>
    <row r="28" spans="1:20" ht="15.9" customHeight="1">
      <c r="A28" s="4"/>
      <c r="B28" s="9"/>
      <c r="C28" s="38"/>
      <c r="D28" s="3"/>
      <c r="E28" s="39"/>
      <c r="F28" s="11" t="s">
        <v>17</v>
      </c>
      <c r="G28" s="201" t="str">
        <f>IF(Lookup!F15=1,"Yes","No")</f>
        <v>Yes</v>
      </c>
      <c r="H28" s="3"/>
      <c r="I28" s="80"/>
      <c r="J28" s="3"/>
      <c r="K28" s="3"/>
      <c r="L28" s="3"/>
      <c r="M28" s="3"/>
      <c r="N28" s="3"/>
      <c r="O28" s="37"/>
      <c r="P28" s="10"/>
      <c r="Q28" s="4"/>
    </row>
    <row r="29" spans="1:20" ht="15.9" customHeight="1">
      <c r="A29" s="4"/>
      <c r="B29" s="9"/>
      <c r="C29" s="38"/>
      <c r="D29" s="3"/>
      <c r="E29" s="39"/>
      <c r="F29" s="11" t="s">
        <v>18</v>
      </c>
      <c r="G29" s="201"/>
      <c r="H29" s="3" t="s">
        <v>19</v>
      </c>
      <c r="I29" s="80" t="str">
        <f>IF(Lookup!G25=2,"Do not complete this field.","")</f>
        <v/>
      </c>
      <c r="J29" s="3"/>
      <c r="K29" s="3"/>
      <c r="L29" s="3"/>
      <c r="M29" s="3"/>
      <c r="N29" s="3"/>
      <c r="O29" s="37"/>
      <c r="P29" s="10"/>
      <c r="Q29" s="4"/>
    </row>
    <row r="30" spans="1:20" ht="15.9" customHeight="1">
      <c r="A30" s="4"/>
      <c r="B30" s="9"/>
      <c r="C30" s="38"/>
      <c r="D30" s="3"/>
      <c r="E30" s="39"/>
      <c r="F30" s="11" t="s">
        <v>20</v>
      </c>
      <c r="G30" s="201"/>
      <c r="H30" s="3" t="s">
        <v>19</v>
      </c>
      <c r="I30" s="80" t="str">
        <f>IF(Lookup!G25=2,"Do not complete this field.","")</f>
        <v/>
      </c>
      <c r="J30" s="3"/>
      <c r="K30" s="3"/>
      <c r="L30" s="3"/>
      <c r="M30" s="3"/>
      <c r="N30" s="3"/>
      <c r="O30" s="37"/>
      <c r="P30" s="10"/>
      <c r="Q30" s="4"/>
    </row>
    <row r="31" spans="1:20" ht="15" customHeight="1">
      <c r="A31" s="4"/>
      <c r="B31" s="9"/>
      <c r="C31" s="38"/>
      <c r="D31" s="3"/>
      <c r="E31" s="39"/>
      <c r="F31" s="11"/>
      <c r="G31" s="72"/>
      <c r="H31" s="3"/>
      <c r="I31" s="3"/>
      <c r="J31" s="3"/>
      <c r="K31" s="3"/>
      <c r="L31" s="3"/>
      <c r="M31" s="3"/>
      <c r="N31" s="3"/>
      <c r="O31" s="37"/>
      <c r="P31" s="10"/>
      <c r="Q31" s="4"/>
    </row>
    <row r="32" spans="1:20" ht="15" customHeight="1">
      <c r="A32" s="4"/>
      <c r="B32" s="9"/>
      <c r="C32" s="38"/>
      <c r="D32" s="3"/>
      <c r="E32" s="39"/>
      <c r="F32" s="11"/>
      <c r="G32" s="72"/>
      <c r="H32" s="3"/>
      <c r="I32" s="3"/>
      <c r="J32" s="3"/>
      <c r="K32" s="3"/>
      <c r="L32" s="3"/>
      <c r="M32" s="3"/>
      <c r="N32" s="3"/>
      <c r="O32" s="37"/>
      <c r="P32" s="10"/>
      <c r="Q32" s="4"/>
    </row>
    <row r="33" spans="1:33" ht="15.9" customHeight="1">
      <c r="A33" s="4"/>
      <c r="B33" s="9"/>
      <c r="C33" s="38"/>
      <c r="D33" s="3"/>
      <c r="E33" s="40"/>
      <c r="F33" s="71" t="s">
        <v>21</v>
      </c>
      <c r="G33" s="74" t="str">
        <f>IF(Lookup!H9=1,"Complete this section","Do not complete this section")</f>
        <v>Complete this section</v>
      </c>
      <c r="H33" s="25"/>
      <c r="I33" s="25"/>
      <c r="J33" s="25"/>
      <c r="K33" s="25"/>
      <c r="L33" s="25"/>
      <c r="M33" s="25"/>
      <c r="N33" s="25"/>
      <c r="O33" s="37"/>
      <c r="P33" s="10"/>
      <c r="Q33" s="4"/>
      <c r="T33" s="81" t="s">
        <v>22</v>
      </c>
      <c r="V33" s="101" t="s">
        <v>23</v>
      </c>
      <c r="W33" s="101"/>
      <c r="X33" s="101" t="s">
        <v>24</v>
      </c>
      <c r="Y33" s="101"/>
    </row>
    <row r="34" spans="1:33" ht="15.9" customHeight="1">
      <c r="A34" s="4"/>
      <c r="B34" s="9"/>
      <c r="C34" s="36"/>
      <c r="D34" s="3"/>
      <c r="E34" s="23"/>
      <c r="F34" s="26" t="s">
        <v>25</v>
      </c>
      <c r="G34" s="202"/>
      <c r="H34" s="25" t="str">
        <f>IF(Lookup!$C$5=1,"t","kg")</f>
        <v>kg</v>
      </c>
      <c r="I34" s="25"/>
      <c r="J34" s="25"/>
      <c r="K34" s="26" t="s">
        <v>26</v>
      </c>
      <c r="L34" s="202"/>
      <c r="M34" s="25" t="str">
        <f>IF(Lookup!$C$6=1,"t","kg")</f>
        <v>kg</v>
      </c>
      <c r="N34" s="25"/>
      <c r="O34" s="37"/>
      <c r="P34" s="10"/>
      <c r="Q34" s="4"/>
      <c r="T34" s="1">
        <f>IF(AND(H34="t",M34="kg"),1000,IF(AND(H34="kg",M34="t"),0.001,1))</f>
        <v>1</v>
      </c>
      <c r="V34">
        <f>IF(Lookup!$C$5=1,1000,1)</f>
        <v>1</v>
      </c>
      <c r="X34">
        <f>IF(Lookup!$C$6=1,1000,1)</f>
        <v>1</v>
      </c>
    </row>
    <row r="35" spans="1:33" ht="15.9" customHeight="1">
      <c r="A35" s="4"/>
      <c r="B35" s="9"/>
      <c r="C35" s="36"/>
      <c r="D35" s="3"/>
      <c r="E35" s="23"/>
      <c r="F35" s="26"/>
      <c r="G35" s="257" t="str">
        <f>IF(ISBLANK(inst_sing_max),"",IF(inst_sing_max_factor*inst_sing_max&gt;=100,"","Max shall not be less than 100 kg"))</f>
        <v/>
      </c>
      <c r="H35" s="25"/>
      <c r="I35" s="25"/>
      <c r="J35" s="25"/>
      <c r="K35" s="26"/>
      <c r="L35" s="83"/>
      <c r="M35" s="25"/>
      <c r="N35" s="25"/>
      <c r="O35" s="37"/>
      <c r="P35" s="10"/>
      <c r="Q35" s="4"/>
      <c r="T35" s="1"/>
    </row>
    <row r="36" spans="1:33" ht="15.9" customHeight="1">
      <c r="A36" s="4"/>
      <c r="B36" s="9"/>
      <c r="C36" s="36"/>
      <c r="D36" s="3"/>
      <c r="E36" s="23"/>
      <c r="F36" s="26"/>
      <c r="G36" s="83"/>
      <c r="H36" s="25"/>
      <c r="I36" s="25"/>
      <c r="J36" s="25"/>
      <c r="K36" s="84" t="s">
        <v>27</v>
      </c>
      <c r="L36" s="261" t="str">
        <f>IF(L34=0,"",(G34)/L34*$T$34)</f>
        <v/>
      </c>
      <c r="M36" s="25"/>
      <c r="N36" s="260"/>
      <c r="O36" s="37"/>
      <c r="P36" s="10"/>
      <c r="Q36" s="4"/>
      <c r="T36" s="1"/>
    </row>
    <row r="37" spans="1:33" ht="15.9" customHeight="1">
      <c r="A37" s="4"/>
      <c r="B37" s="9"/>
      <c r="C37" s="36"/>
      <c r="D37" s="3"/>
      <c r="E37" s="23"/>
      <c r="F37" s="25"/>
      <c r="G37" s="25"/>
      <c r="H37" s="25"/>
      <c r="I37" s="25"/>
      <c r="J37" s="25"/>
      <c r="K37" s="25"/>
      <c r="L37" s="25"/>
      <c r="M37" s="25"/>
      <c r="N37" s="25"/>
      <c r="O37" s="37"/>
      <c r="P37" s="10"/>
      <c r="Q37" s="4"/>
      <c r="W37" t="s">
        <v>223</v>
      </c>
    </row>
    <row r="38" spans="1:33" ht="15.9" customHeight="1">
      <c r="A38" s="4"/>
      <c r="B38" s="9"/>
      <c r="C38" s="36"/>
      <c r="D38" s="3"/>
      <c r="E38" s="23"/>
      <c r="F38" s="30" t="s">
        <v>28</v>
      </c>
      <c r="G38" s="28"/>
      <c r="H38" s="75" t="str">
        <f>IF(Lookup!H9=1,"Do not complete this section", "Complete this section")</f>
        <v>Do not complete this section</v>
      </c>
      <c r="I38" s="28"/>
      <c r="J38" s="28"/>
      <c r="K38" s="28"/>
      <c r="L38" s="28"/>
      <c r="M38" s="28"/>
      <c r="N38" s="28"/>
      <c r="O38" s="37"/>
      <c r="P38" s="10"/>
      <c r="Q38" s="4"/>
      <c r="W38" s="1" t="str">
        <f>IF(SUM(W40:W43)&gt;0,"NOT OK","OK")</f>
        <v>OK</v>
      </c>
    </row>
    <row r="39" spans="1:33" ht="15.9" customHeight="1">
      <c r="A39" s="4"/>
      <c r="B39" s="9"/>
      <c r="C39" s="36"/>
      <c r="D39" s="3"/>
      <c r="E39" s="23"/>
      <c r="F39" s="28"/>
      <c r="G39" s="27" t="s">
        <v>29</v>
      </c>
      <c r="H39" s="27"/>
      <c r="I39" s="27" t="s">
        <v>30</v>
      </c>
      <c r="J39" s="28"/>
      <c r="K39" s="28"/>
      <c r="L39" s="27" t="s">
        <v>31</v>
      </c>
      <c r="M39" s="28"/>
      <c r="N39" s="27" t="s">
        <v>27</v>
      </c>
      <c r="O39" s="37"/>
      <c r="P39" s="10"/>
      <c r="Q39" s="4"/>
      <c r="T39" s="81"/>
      <c r="U39" s="81"/>
      <c r="V39" s="81" t="s">
        <v>27</v>
      </c>
      <c r="W39" s="81" t="s">
        <v>222</v>
      </c>
      <c r="AF39" s="1" t="s">
        <v>219</v>
      </c>
    </row>
    <row r="40" spans="1:33" ht="15.9" customHeight="1">
      <c r="A40" s="4"/>
      <c r="B40" s="9"/>
      <c r="C40" s="36"/>
      <c r="D40" s="3"/>
      <c r="E40" s="23"/>
      <c r="F40" s="29" t="s">
        <v>32</v>
      </c>
      <c r="G40" s="202"/>
      <c r="H40" s="27" t="str">
        <f>I$45</f>
        <v>kg</v>
      </c>
      <c r="I40" s="202"/>
      <c r="J40" s="27" t="str">
        <f>I$45</f>
        <v>kg</v>
      </c>
      <c r="K40" s="29" t="s">
        <v>33</v>
      </c>
      <c r="L40" s="202"/>
      <c r="M40" s="28" t="str">
        <f>M$45</f>
        <v>kg</v>
      </c>
      <c r="N40" s="73" t="str">
        <f>IF(L40=0,"",(I40-G40)/L40*$T$45)</f>
        <v/>
      </c>
      <c r="O40" s="37"/>
      <c r="P40" s="10"/>
      <c r="Q40" s="4"/>
      <c r="T40" s="1"/>
      <c r="U40" s="1"/>
      <c r="V40" s="1">
        <f>IF(N40="",0,1)</f>
        <v>0</v>
      </c>
      <c r="W40" s="1"/>
      <c r="AE40" s="241" t="s">
        <v>216</v>
      </c>
      <c r="AF40" t="str">
        <f>IF(inst_multi_e_2&gt;0,inst_multi_max_1/inst_multi_e_2*$T$45,"")</f>
        <v/>
      </c>
      <c r="AG40">
        <f>IF(AF40&gt;0,IF(AF40&lt;500,1,0),0)</f>
        <v>0</v>
      </c>
    </row>
    <row r="41" spans="1:33" ht="15.9" customHeight="1">
      <c r="A41" s="4"/>
      <c r="B41" s="9"/>
      <c r="C41" s="36"/>
      <c r="D41" s="3"/>
      <c r="E41" s="23"/>
      <c r="F41" s="29" t="s">
        <v>34</v>
      </c>
      <c r="G41" s="202"/>
      <c r="H41" s="27" t="str">
        <f>I$45</f>
        <v>kg</v>
      </c>
      <c r="I41" s="202"/>
      <c r="J41" s="27" t="str">
        <f>I$45</f>
        <v>kg</v>
      </c>
      <c r="K41" s="29" t="s">
        <v>35</v>
      </c>
      <c r="L41" s="202"/>
      <c r="M41" s="28" t="str">
        <f>M$45</f>
        <v>kg</v>
      </c>
      <c r="N41" s="73" t="str">
        <f>IF(L41=0,"",(I41)/L41*$T$45)</f>
        <v/>
      </c>
      <c r="O41" s="37"/>
      <c r="P41" s="10"/>
      <c r="Q41" s="4"/>
      <c r="T41" s="1"/>
      <c r="U41" s="1"/>
      <c r="V41" s="1">
        <f>IF(N41="",0,1)</f>
        <v>0</v>
      </c>
      <c r="W41" s="1" t="str">
        <f>IF(V41=1,IF(inst_multi_e_1&lt;inst_multi_e_2,0,1),"")</f>
        <v/>
      </c>
      <c r="AA41" s="189" t="s">
        <v>36</v>
      </c>
      <c r="AB41" s="1">
        <f>IF(inst_multi_maxer&lt;3,500000,0)</f>
        <v>500000</v>
      </c>
      <c r="AE41" s="241" t="s">
        <v>217</v>
      </c>
      <c r="AF41" t="str">
        <f>IF(inst_multi_e_3&gt;0,inst_multi_max_2/inst_multi_e_3*$T$45,"")</f>
        <v/>
      </c>
      <c r="AG41">
        <f>IF(AF41&gt;0,IF(AF41&lt;500,1,0),0)</f>
        <v>0</v>
      </c>
    </row>
    <row r="42" spans="1:33" ht="15.9" customHeight="1">
      <c r="A42" s="4"/>
      <c r="B42" s="9"/>
      <c r="C42" s="36"/>
      <c r="D42" s="3"/>
      <c r="E42" s="23"/>
      <c r="F42" s="29" t="s">
        <v>37</v>
      </c>
      <c r="G42" s="202"/>
      <c r="H42" s="27" t="str">
        <f>I$45</f>
        <v>kg</v>
      </c>
      <c r="I42" s="202"/>
      <c r="J42" s="27" t="str">
        <f>I$45</f>
        <v>kg</v>
      </c>
      <c r="K42" s="29" t="s">
        <v>38</v>
      </c>
      <c r="L42" s="202"/>
      <c r="M42" s="28" t="str">
        <f>M$45</f>
        <v>kg</v>
      </c>
      <c r="N42" s="73" t="str">
        <f>IF(L42=0,"",(I42)/L42*$T$45)</f>
        <v/>
      </c>
      <c r="O42" s="37"/>
      <c r="P42" s="10"/>
      <c r="Q42" s="4"/>
      <c r="T42" s="1"/>
      <c r="U42" s="1"/>
      <c r="V42" s="1">
        <f>IF(N42="",0,1)</f>
        <v>0</v>
      </c>
      <c r="W42" s="1" t="str">
        <f>IF(V42=1,IF(inst_multi_e_2&lt;inst_multi_e_3,0,1),"")</f>
        <v/>
      </c>
      <c r="AA42" s="189" t="s">
        <v>39</v>
      </c>
      <c r="AB42" s="1">
        <f>IF(inst_multi_maxer&lt;4,1000000,0)</f>
        <v>1000000</v>
      </c>
      <c r="AE42" s="241" t="s">
        <v>218</v>
      </c>
      <c r="AF42" t="str">
        <f>IF(inst_multi_e_4&gt;0,inst_multi_max_3/inst_multi_e_4*$T$45,"")</f>
        <v/>
      </c>
      <c r="AG42">
        <f>IF(AF42&gt;0,IF(AF42&lt;500,1,0),0)</f>
        <v>0</v>
      </c>
    </row>
    <row r="43" spans="1:33" ht="15.9" customHeight="1">
      <c r="A43" s="4"/>
      <c r="B43" s="9"/>
      <c r="C43" s="36"/>
      <c r="D43" s="3"/>
      <c r="E43" s="23"/>
      <c r="F43" s="29" t="s">
        <v>40</v>
      </c>
      <c r="G43" s="202"/>
      <c r="H43" s="27" t="str">
        <f>I$45</f>
        <v>kg</v>
      </c>
      <c r="I43" s="202"/>
      <c r="J43" s="27" t="str">
        <f>I$45</f>
        <v>kg</v>
      </c>
      <c r="K43" s="29" t="s">
        <v>41</v>
      </c>
      <c r="L43" s="202"/>
      <c r="M43" s="28" t="str">
        <f>M$45</f>
        <v>kg</v>
      </c>
      <c r="N43" s="73" t="str">
        <f>IF(L43=0,"",(I43)/L43*$T$45)</f>
        <v/>
      </c>
      <c r="O43" s="37"/>
      <c r="P43" s="10"/>
      <c r="Q43" s="4"/>
      <c r="T43" s="1"/>
      <c r="U43" s="1"/>
      <c r="V43" s="1">
        <f>IF(N43="",0,1)</f>
        <v>0</v>
      </c>
      <c r="W43" s="1" t="str">
        <f>IF(V43=1,IF(inst_multi_e_3&lt;inst_multi_e_4,0,1),"")</f>
        <v/>
      </c>
      <c r="AG43" t="str">
        <f>IF(SUM(AG40:AG42)&gt;0, "Table 4 problem","Table 4 OK")</f>
        <v>Table 4 OK</v>
      </c>
    </row>
    <row r="44" spans="1:33" ht="15.9" customHeight="1">
      <c r="A44" s="4"/>
      <c r="B44" s="9"/>
      <c r="C44" s="36"/>
      <c r="D44" s="3"/>
      <c r="E44" s="23"/>
      <c r="F44" s="27"/>
      <c r="G44" s="27"/>
      <c r="H44" s="28"/>
      <c r="I44" s="28"/>
      <c r="J44" s="28"/>
      <c r="K44" s="28"/>
      <c r="L44" s="28"/>
      <c r="M44" s="28"/>
      <c r="N44" s="28"/>
      <c r="O44" s="37"/>
      <c r="P44" s="10"/>
      <c r="Q44" s="4"/>
      <c r="T44" s="81" t="s">
        <v>42</v>
      </c>
      <c r="V44" s="94">
        <f>SUM(V40:V43)</f>
        <v>0</v>
      </c>
      <c r="W44" s="101" t="s">
        <v>43</v>
      </c>
    </row>
    <row r="45" spans="1:33" ht="15.9" customHeight="1">
      <c r="A45" s="4"/>
      <c r="B45" s="9"/>
      <c r="C45" s="36"/>
      <c r="D45" s="3"/>
      <c r="E45" s="23"/>
      <c r="F45" s="27"/>
      <c r="G45" s="27" t="s">
        <v>44</v>
      </c>
      <c r="H45" s="28"/>
      <c r="I45" s="203" t="str">
        <f>IF(Lookup!$C$7=1,"t","kg")</f>
        <v>kg</v>
      </c>
      <c r="J45" s="28"/>
      <c r="K45" s="28"/>
      <c r="L45" s="28" t="s">
        <v>45</v>
      </c>
      <c r="M45" s="205" t="str">
        <f>IF(Lookup!$C$8=1,"t","kg")</f>
        <v>kg</v>
      </c>
      <c r="N45" s="28"/>
      <c r="O45" s="37"/>
      <c r="P45" s="10"/>
      <c r="Q45" s="4"/>
      <c r="T45" s="1">
        <f>IF(AND(I45="t",M45="kg"),1000,IF(AND(I45="kg",M45="t"),0.001,1))</f>
        <v>1</v>
      </c>
    </row>
    <row r="46" spans="1:33" ht="15.9" customHeight="1">
      <c r="A46" s="4"/>
      <c r="B46" s="9"/>
      <c r="C46" s="36"/>
      <c r="D46" s="3"/>
      <c r="E46" s="23"/>
      <c r="F46" s="27"/>
      <c r="G46" s="27"/>
      <c r="H46" s="28"/>
      <c r="I46" s="204"/>
      <c r="J46" s="28"/>
      <c r="K46" s="28"/>
      <c r="L46" s="28"/>
      <c r="M46" s="204"/>
      <c r="N46" s="204"/>
      <c r="O46" s="37"/>
      <c r="P46" s="10"/>
      <c r="Q46" s="4"/>
    </row>
    <row r="47" spans="1:33" ht="15.9" customHeight="1">
      <c r="A47" s="4"/>
      <c r="B47" s="9"/>
      <c r="C47" s="36"/>
      <c r="D47" s="3"/>
      <c r="E47" s="23"/>
      <c r="F47" s="266" t="s">
        <v>243</v>
      </c>
      <c r="G47" s="72"/>
      <c r="H47" s="3"/>
      <c r="I47" s="3"/>
      <c r="J47" s="3"/>
      <c r="K47" s="3"/>
      <c r="L47" s="3"/>
      <c r="M47" s="3"/>
      <c r="N47" s="3"/>
      <c r="O47" s="37"/>
      <c r="P47" s="10"/>
      <c r="Q47" s="4"/>
      <c r="V47" s="101" t="s">
        <v>46</v>
      </c>
      <c r="W47" s="101"/>
      <c r="X47" s="101" t="s">
        <v>47</v>
      </c>
      <c r="Y47" s="101"/>
    </row>
    <row r="48" spans="1:33" ht="15.9" customHeight="1">
      <c r="A48" s="4"/>
      <c r="B48" s="9"/>
      <c r="C48" s="36"/>
      <c r="D48" s="3"/>
      <c r="E48" s="23"/>
      <c r="F48" s="229" t="s">
        <v>207</v>
      </c>
      <c r="G48" s="72"/>
      <c r="H48" s="3"/>
      <c r="I48" s="3"/>
      <c r="J48" s="3"/>
      <c r="K48" s="3"/>
      <c r="L48" s="3"/>
      <c r="M48" s="3"/>
      <c r="N48" s="3"/>
      <c r="O48" s="37"/>
      <c r="P48" s="10"/>
      <c r="Q48" s="4"/>
      <c r="T48" s="1"/>
      <c r="V48">
        <f>IF(Lookup!$C$7=1,1000,1)</f>
        <v>1</v>
      </c>
      <c r="X48">
        <f>IF(Lookup!$C$8=1,1000,1)</f>
        <v>1</v>
      </c>
    </row>
    <row r="49" spans="1:25" ht="15.9" customHeight="1">
      <c r="A49" s="4"/>
      <c r="B49" s="9"/>
      <c r="C49" s="36"/>
      <c r="D49" s="3"/>
      <c r="E49" s="23"/>
      <c r="F49" s="293"/>
      <c r="G49" s="294"/>
      <c r="H49" s="294"/>
      <c r="I49" s="294"/>
      <c r="J49" s="294"/>
      <c r="K49" s="294"/>
      <c r="L49" s="294"/>
      <c r="M49" s="294"/>
      <c r="N49" s="295"/>
      <c r="O49" s="37"/>
      <c r="P49" s="10"/>
      <c r="Q49" s="4"/>
      <c r="T49" s="1"/>
    </row>
    <row r="50" spans="1:25" ht="15.9" customHeight="1">
      <c r="A50" s="4"/>
      <c r="B50" s="9"/>
      <c r="C50" s="36"/>
      <c r="D50" s="3"/>
      <c r="E50" s="23"/>
      <c r="F50" s="296"/>
      <c r="G50" s="297"/>
      <c r="H50" s="297"/>
      <c r="I50" s="297"/>
      <c r="J50" s="297"/>
      <c r="K50" s="297"/>
      <c r="L50" s="297"/>
      <c r="M50" s="297"/>
      <c r="N50" s="298"/>
      <c r="O50" s="37"/>
      <c r="P50" s="10"/>
      <c r="Q50" s="4"/>
      <c r="T50" s="1"/>
      <c r="V50" s="240" t="s">
        <v>220</v>
      </c>
      <c r="Y50">
        <f>MAX(N40:N43)</f>
        <v>0</v>
      </c>
    </row>
    <row r="51" spans="1:25" ht="8" customHeight="1">
      <c r="A51" s="4"/>
      <c r="B51" s="9"/>
      <c r="C51" s="41"/>
      <c r="D51" s="42"/>
      <c r="E51" s="43"/>
      <c r="F51" s="44"/>
      <c r="G51" s="44"/>
      <c r="H51" s="42"/>
      <c r="I51" s="42"/>
      <c r="J51" s="42"/>
      <c r="K51" s="42"/>
      <c r="L51" s="42"/>
      <c r="M51" s="42"/>
      <c r="N51" s="42"/>
      <c r="O51" s="45"/>
      <c r="P51" s="10"/>
      <c r="Q51" s="4"/>
      <c r="T51" s="1"/>
    </row>
    <row r="52" spans="1:25" ht="15.9" customHeight="1">
      <c r="A52" s="4"/>
      <c r="B52" s="17"/>
      <c r="C52" s="18"/>
      <c r="D52" s="18"/>
      <c r="E52" s="18"/>
      <c r="F52" s="18"/>
      <c r="G52" s="18"/>
      <c r="H52" s="18"/>
      <c r="I52" s="18"/>
      <c r="J52" s="18"/>
      <c r="K52" s="18"/>
      <c r="L52" s="18"/>
      <c r="M52" s="18"/>
      <c r="N52" s="18"/>
      <c r="O52" s="18"/>
      <c r="P52" s="19"/>
      <c r="Q52" s="4"/>
      <c r="T52" s="1"/>
      <c r="V52" s="240" t="s">
        <v>221</v>
      </c>
      <c r="Y52">
        <f>MIN(N40:N43)</f>
        <v>0</v>
      </c>
    </row>
    <row r="53" spans="1:25" ht="201.75" customHeight="1">
      <c r="A53" s="4"/>
      <c r="B53" s="4"/>
      <c r="C53" s="4"/>
      <c r="D53" s="4"/>
      <c r="E53" s="4"/>
      <c r="F53" s="4"/>
      <c r="G53" s="24"/>
      <c r="H53" s="4"/>
      <c r="I53" s="4"/>
      <c r="J53" s="4"/>
      <c r="K53" s="4"/>
      <c r="L53" s="4"/>
      <c r="M53" s="4"/>
      <c r="N53" s="4"/>
      <c r="O53" s="4"/>
      <c r="P53" s="4"/>
      <c r="Q53" s="4"/>
    </row>
    <row r="54" spans="1:25" ht="15.9" customHeight="1">
      <c r="G54" s="2"/>
    </row>
    <row r="55" spans="1:25" ht="15.9" customHeight="1">
      <c r="G55" s="2"/>
    </row>
    <row r="56" spans="1:25" ht="15.9" customHeight="1">
      <c r="G56" s="2"/>
    </row>
    <row r="57" spans="1:25" ht="15.9" customHeight="1">
      <c r="G57" s="2"/>
    </row>
    <row r="58" spans="1:25" ht="15.9" customHeight="1">
      <c r="G58" s="2"/>
    </row>
    <row r="59" spans="1:25" ht="15.9" customHeight="1">
      <c r="G59" s="2"/>
    </row>
    <row r="60" spans="1:25" ht="15.9" customHeight="1">
      <c r="G60" s="2"/>
    </row>
    <row r="61" spans="1:25">
      <c r="G61" s="2"/>
    </row>
  </sheetData>
  <sheetProtection password="CC40" sheet="1"/>
  <mergeCells count="14">
    <mergeCell ref="G23:K23"/>
    <mergeCell ref="G15:J15"/>
    <mergeCell ref="G17:N17"/>
    <mergeCell ref="M19:O24"/>
    <mergeCell ref="F49:N50"/>
    <mergeCell ref="G7:K7"/>
    <mergeCell ref="G8:K8"/>
    <mergeCell ref="G9:K9"/>
    <mergeCell ref="G10:K10"/>
    <mergeCell ref="G11:K11"/>
    <mergeCell ref="G12:K12"/>
    <mergeCell ref="G14:J14"/>
    <mergeCell ref="G19:K19"/>
    <mergeCell ref="G21:K21"/>
  </mergeCells>
  <phoneticPr fontId="0" type="noConversion"/>
  <conditionalFormatting sqref="L36">
    <cfRule type="cellIs" dxfId="5" priority="1" stopIfTrue="1" operator="greaterThan">
      <formula>10000</formula>
    </cfRule>
  </conditionalFormatting>
  <pageMargins left="0.35433070866141736" right="0.23622047244094491" top="0.51181102362204722" bottom="0.78740157480314965" header="0.23622047244094491" footer="0.51181102362204722"/>
  <pageSetup scale="95" orientation="portrait" blackAndWhite="1" r:id="rId1"/>
  <headerFooter alignWithMargins="0">
    <oddFooter>&amp;Cpage ...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print="0" autoFill="0" autoLine="0" autoPict="0">
                <anchor moveWithCells="1">
                  <from>
                    <xdr:col>5</xdr:col>
                    <xdr:colOff>1676400</xdr:colOff>
                    <xdr:row>15</xdr:row>
                    <xdr:rowOff>25400</xdr:rowOff>
                  </from>
                  <to>
                    <xdr:col>14</xdr:col>
                    <xdr:colOff>184150</xdr:colOff>
                    <xdr:row>17</xdr:row>
                    <xdr:rowOff>0</xdr:rowOff>
                  </to>
                </anchor>
              </controlPr>
            </control>
          </mc:Choice>
        </mc:AlternateContent>
        <mc:AlternateContent xmlns:mc="http://schemas.openxmlformats.org/markup-compatibility/2006">
          <mc:Choice Requires="x14">
            <control shapeId="2050" r:id="rId5" name="Drop Down 2">
              <controlPr defaultSize="0" print="0" autoFill="0" autoLine="0" autoPict="0">
                <anchor moveWithCells="1">
                  <from>
                    <xdr:col>7</xdr:col>
                    <xdr:colOff>0</xdr:colOff>
                    <xdr:row>33</xdr:row>
                    <xdr:rowOff>0</xdr:rowOff>
                  </from>
                  <to>
                    <xdr:col>8</xdr:col>
                    <xdr:colOff>222250</xdr:colOff>
                    <xdr:row>34</xdr:row>
                    <xdr:rowOff>0</xdr:rowOff>
                  </to>
                </anchor>
              </controlPr>
            </control>
          </mc:Choice>
        </mc:AlternateContent>
        <mc:AlternateContent xmlns:mc="http://schemas.openxmlformats.org/markup-compatibility/2006">
          <mc:Choice Requires="x14">
            <control shapeId="2051" r:id="rId6" name="Drop Down 3">
              <controlPr defaultSize="0" print="0" autoFill="0" autoLine="0" autoPict="0">
                <anchor moveWithCells="1">
                  <from>
                    <xdr:col>12</xdr:col>
                    <xdr:colOff>0</xdr:colOff>
                    <xdr:row>33</xdr:row>
                    <xdr:rowOff>0</xdr:rowOff>
                  </from>
                  <to>
                    <xdr:col>13</xdr:col>
                    <xdr:colOff>209550</xdr:colOff>
                    <xdr:row>34</xdr:row>
                    <xdr:rowOff>0</xdr:rowOff>
                  </to>
                </anchor>
              </controlPr>
            </control>
          </mc:Choice>
        </mc:AlternateContent>
        <mc:AlternateContent xmlns:mc="http://schemas.openxmlformats.org/markup-compatibility/2006">
          <mc:Choice Requires="x14">
            <control shapeId="2053" r:id="rId7" name="Drop Down 5">
              <controlPr defaultSize="0" autoFill="0" autoLine="0" autoPict="0">
                <anchor moveWithCells="1">
                  <from>
                    <xdr:col>8</xdr:col>
                    <xdr:colOff>0</xdr:colOff>
                    <xdr:row>44</xdr:row>
                    <xdr:rowOff>0</xdr:rowOff>
                  </from>
                  <to>
                    <xdr:col>9</xdr:col>
                    <xdr:colOff>25400</xdr:colOff>
                    <xdr:row>45</xdr:row>
                    <xdr:rowOff>0</xdr:rowOff>
                  </to>
                </anchor>
              </controlPr>
            </control>
          </mc:Choice>
        </mc:AlternateContent>
        <mc:AlternateContent xmlns:mc="http://schemas.openxmlformats.org/markup-compatibility/2006">
          <mc:Choice Requires="x14">
            <control shapeId="2054" r:id="rId8" name="Drop Down 6">
              <controlPr defaultSize="0" autoFill="0" autoLine="0" autoPict="0">
                <anchor moveWithCells="1">
                  <from>
                    <xdr:col>12</xdr:col>
                    <xdr:colOff>0</xdr:colOff>
                    <xdr:row>44</xdr:row>
                    <xdr:rowOff>0</xdr:rowOff>
                  </from>
                  <to>
                    <xdr:col>13</xdr:col>
                    <xdr:colOff>387350</xdr:colOff>
                    <xdr:row>45</xdr:row>
                    <xdr:rowOff>0</xdr:rowOff>
                  </to>
                </anchor>
              </controlPr>
            </control>
          </mc:Choice>
        </mc:AlternateContent>
        <mc:AlternateContent xmlns:mc="http://schemas.openxmlformats.org/markup-compatibility/2006">
          <mc:Choice Requires="x14">
            <control shapeId="2055" r:id="rId9" name="Drop Down 7">
              <controlPr defaultSize="0" print="0" autoFill="0" autoLine="0" autoPict="0">
                <anchor moveWithCells="1">
                  <from>
                    <xdr:col>6</xdr:col>
                    <xdr:colOff>0</xdr:colOff>
                    <xdr:row>18</xdr:row>
                    <xdr:rowOff>0</xdr:rowOff>
                  </from>
                  <to>
                    <xdr:col>11</xdr:col>
                    <xdr:colOff>152400</xdr:colOff>
                    <xdr:row>19</xdr:row>
                    <xdr:rowOff>0</xdr:rowOff>
                  </to>
                </anchor>
              </controlPr>
            </control>
          </mc:Choice>
        </mc:AlternateContent>
        <mc:AlternateContent xmlns:mc="http://schemas.openxmlformats.org/markup-compatibility/2006">
          <mc:Choice Requires="x14">
            <control shapeId="2056" r:id="rId10" name="Drop Down 8">
              <controlPr defaultSize="0" print="0" autoFill="0" autoLine="0" autoPict="0">
                <anchor moveWithCells="1">
                  <from>
                    <xdr:col>6</xdr:col>
                    <xdr:colOff>0</xdr:colOff>
                    <xdr:row>20</xdr:row>
                    <xdr:rowOff>0</xdr:rowOff>
                  </from>
                  <to>
                    <xdr:col>11</xdr:col>
                    <xdr:colOff>152400</xdr:colOff>
                    <xdr:row>21</xdr:row>
                    <xdr:rowOff>0</xdr:rowOff>
                  </to>
                </anchor>
              </controlPr>
            </control>
          </mc:Choice>
        </mc:AlternateContent>
        <mc:AlternateContent xmlns:mc="http://schemas.openxmlformats.org/markup-compatibility/2006">
          <mc:Choice Requires="x14">
            <control shapeId="2057" r:id="rId11" name="Drop Down 9">
              <controlPr defaultSize="0" print="0" autoFill="0" autoLine="0" autoPict="0">
                <anchor moveWithCells="1">
                  <from>
                    <xdr:col>6</xdr:col>
                    <xdr:colOff>0</xdr:colOff>
                    <xdr:row>27</xdr:row>
                    <xdr:rowOff>0</xdr:rowOff>
                  </from>
                  <to>
                    <xdr:col>7</xdr:col>
                    <xdr:colOff>6350</xdr:colOff>
                    <xdr:row>28</xdr:row>
                    <xdr:rowOff>0</xdr:rowOff>
                  </to>
                </anchor>
              </controlPr>
            </control>
          </mc:Choice>
        </mc:AlternateContent>
        <mc:AlternateContent xmlns:mc="http://schemas.openxmlformats.org/markup-compatibility/2006">
          <mc:Choice Requires="x14">
            <control shapeId="2058" r:id="rId12" name="Drop Down 10">
              <controlPr defaultSize="0" print="0" autoFill="0" autoLine="0" autoPict="0">
                <anchor moveWithCells="1">
                  <from>
                    <xdr:col>6</xdr:col>
                    <xdr:colOff>0</xdr:colOff>
                    <xdr:row>21</xdr:row>
                    <xdr:rowOff>25400</xdr:rowOff>
                  </from>
                  <to>
                    <xdr:col>11</xdr:col>
                    <xdr:colOff>152400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53"/>
  <sheetViews>
    <sheetView workbookViewId="0">
      <selection activeCell="L15" sqref="L15"/>
    </sheetView>
  </sheetViews>
  <sheetFormatPr defaultRowHeight="12.5"/>
  <cols>
    <col min="1" max="1" width="4" customWidth="1"/>
    <col min="2" max="2" width="3.453125" customWidth="1"/>
    <col min="3" max="3" width="9.90625" customWidth="1"/>
    <col min="8" max="8" width="1.6328125" customWidth="1"/>
    <col min="9" max="9" width="10.6328125" customWidth="1"/>
    <col min="10" max="10" width="6.81640625" customWidth="1"/>
    <col min="11" max="11" width="13.26953125" customWidth="1"/>
    <col min="12" max="12" width="16.08984375" customWidth="1"/>
    <col min="13" max="13" width="4.08984375" customWidth="1"/>
    <col min="14" max="14" width="4.54296875" customWidth="1"/>
    <col min="19" max="19" width="8.7265625" hidden="1" customWidth="1"/>
  </cols>
  <sheetData>
    <row r="1" spans="1:19" ht="12.5" customHeight="1">
      <c r="A1" s="4"/>
      <c r="B1" s="267" t="s">
        <v>174</v>
      </c>
      <c r="C1" s="6"/>
      <c r="D1" s="6"/>
      <c r="E1" s="6"/>
      <c r="F1" s="6"/>
      <c r="G1" s="6"/>
      <c r="H1" s="6"/>
      <c r="I1" s="6"/>
      <c r="J1" s="6"/>
      <c r="K1" s="6"/>
      <c r="L1" s="6"/>
      <c r="M1" s="6"/>
      <c r="N1" s="4"/>
      <c r="O1" s="289"/>
      <c r="P1" s="289"/>
      <c r="Q1" s="289"/>
    </row>
    <row r="2" spans="1:19" ht="9" customHeight="1">
      <c r="A2" s="4"/>
      <c r="B2" s="4"/>
      <c r="C2" s="4"/>
      <c r="D2" s="4"/>
      <c r="E2" s="4"/>
      <c r="F2" s="4"/>
      <c r="G2" s="4"/>
      <c r="H2" s="4"/>
      <c r="I2" s="4"/>
      <c r="J2" s="4"/>
      <c r="K2" s="6"/>
      <c r="L2" s="6"/>
      <c r="M2" s="4"/>
      <c r="N2" s="4"/>
      <c r="O2" s="289"/>
      <c r="P2" s="289"/>
      <c r="Q2" s="289"/>
    </row>
    <row r="3" spans="1:19" ht="20.149999999999999" customHeight="1">
      <c r="A3" s="4"/>
      <c r="B3" s="7"/>
      <c r="C3" s="8"/>
      <c r="D3" s="8"/>
      <c r="E3" s="8"/>
      <c r="F3" s="8"/>
      <c r="G3" s="8"/>
      <c r="H3" s="8"/>
      <c r="I3" s="8"/>
      <c r="J3" s="8"/>
      <c r="K3" s="8"/>
      <c r="L3" s="8"/>
      <c r="M3" s="283" t="str">
        <f>ver</f>
        <v>Ver 21</v>
      </c>
      <c r="N3" s="4"/>
      <c r="O3" s="289"/>
      <c r="P3" s="289"/>
      <c r="Q3" s="289"/>
    </row>
    <row r="4" spans="1:19" ht="20">
      <c r="A4" s="4"/>
      <c r="B4" s="9"/>
      <c r="C4" s="46" t="s">
        <v>48</v>
      </c>
      <c r="D4" s="47"/>
      <c r="E4" s="47"/>
      <c r="F4" s="47"/>
      <c r="G4" s="47"/>
      <c r="H4" s="47"/>
      <c r="I4" s="47"/>
      <c r="J4" s="47"/>
      <c r="K4" s="47"/>
      <c r="L4" s="48"/>
      <c r="M4" s="10"/>
      <c r="N4" s="4"/>
      <c r="O4" s="289"/>
      <c r="P4" s="289"/>
      <c r="Q4" s="289"/>
    </row>
    <row r="5" spans="1:19">
      <c r="A5" s="4"/>
      <c r="B5" s="9"/>
      <c r="C5" s="36"/>
      <c r="D5" s="3"/>
      <c r="E5" s="3"/>
      <c r="F5" s="3"/>
      <c r="G5" s="11"/>
      <c r="H5" s="11"/>
      <c r="I5" s="3"/>
      <c r="J5" s="3"/>
      <c r="K5" s="3"/>
      <c r="L5" s="37"/>
      <c r="M5" s="10"/>
      <c r="N5" s="4"/>
      <c r="O5" s="289"/>
      <c r="P5" s="289"/>
      <c r="Q5" s="289"/>
    </row>
    <row r="6" spans="1:19">
      <c r="A6" s="4"/>
      <c r="B6" s="9"/>
      <c r="C6" s="36"/>
      <c r="D6" s="3"/>
      <c r="E6" s="3"/>
      <c r="F6" s="3"/>
      <c r="G6" s="11"/>
      <c r="H6" s="11"/>
      <c r="I6" s="3"/>
      <c r="J6" s="3"/>
      <c r="K6" s="3"/>
      <c r="L6" s="37"/>
      <c r="M6" s="10"/>
      <c r="N6" s="4"/>
      <c r="O6" s="289"/>
      <c r="P6" s="289"/>
      <c r="Q6" s="289"/>
    </row>
    <row r="7" spans="1:19" ht="15.9" customHeight="1">
      <c r="A7" s="4"/>
      <c r="B7" s="9"/>
      <c r="C7" s="36"/>
      <c r="D7" s="3"/>
      <c r="E7" s="3"/>
      <c r="F7" s="3"/>
      <c r="G7" s="22" t="s">
        <v>49</v>
      </c>
      <c r="H7" s="21" t="s">
        <v>50</v>
      </c>
      <c r="I7" s="202"/>
      <c r="J7" s="3"/>
      <c r="K7" s="3"/>
      <c r="L7" s="37"/>
      <c r="M7" s="10"/>
      <c r="N7" s="4"/>
      <c r="O7" s="289"/>
      <c r="P7" s="289"/>
      <c r="Q7" s="289"/>
    </row>
    <row r="8" spans="1:19" ht="15.9" customHeight="1">
      <c r="A8" s="4"/>
      <c r="B8" s="9"/>
      <c r="C8" s="36"/>
      <c r="D8" s="3"/>
      <c r="E8" s="3"/>
      <c r="F8" s="3"/>
      <c r="G8" s="22" t="s">
        <v>240</v>
      </c>
      <c r="H8" s="11"/>
      <c r="I8" s="284"/>
      <c r="J8" s="268" t="s">
        <v>244</v>
      </c>
      <c r="K8" s="3"/>
      <c r="L8" s="37"/>
      <c r="M8" s="10"/>
      <c r="N8" s="4"/>
      <c r="O8" s="289"/>
      <c r="P8" s="289"/>
      <c r="Q8" s="289"/>
    </row>
    <row r="9" spans="1:19" ht="15.9" customHeight="1">
      <c r="A9" s="4"/>
      <c r="B9" s="9"/>
      <c r="C9" s="36"/>
      <c r="D9" s="3"/>
      <c r="E9" s="3"/>
      <c r="F9" s="3"/>
      <c r="G9" s="22" t="s">
        <v>5</v>
      </c>
      <c r="H9" s="11"/>
      <c r="I9" s="302"/>
      <c r="J9" s="300"/>
      <c r="K9" s="301"/>
      <c r="L9" s="37"/>
      <c r="M9" s="10"/>
      <c r="N9" s="4"/>
      <c r="O9" s="289"/>
      <c r="P9" s="289"/>
      <c r="Q9" s="289"/>
    </row>
    <row r="10" spans="1:19" ht="15.9" customHeight="1">
      <c r="A10" s="4"/>
      <c r="B10" s="9"/>
      <c r="C10" s="36"/>
      <c r="D10" s="3"/>
      <c r="E10" s="3"/>
      <c r="F10" s="3"/>
      <c r="G10" s="22" t="s">
        <v>6</v>
      </c>
      <c r="H10" s="11"/>
      <c r="I10" s="302"/>
      <c r="J10" s="300"/>
      <c r="K10" s="301"/>
      <c r="L10" s="37"/>
      <c r="M10" s="10"/>
      <c r="N10" s="4"/>
      <c r="O10" s="289"/>
      <c r="P10" s="289"/>
      <c r="Q10" s="289"/>
      <c r="S10" s="101" t="s">
        <v>51</v>
      </c>
    </row>
    <row r="11" spans="1:19" ht="15.9" customHeight="1">
      <c r="A11" s="4"/>
      <c r="B11" s="9"/>
      <c r="C11" s="36"/>
      <c r="D11" s="3"/>
      <c r="E11" s="3"/>
      <c r="F11" s="3"/>
      <c r="G11" s="255" t="s">
        <v>235</v>
      </c>
      <c r="H11" s="11"/>
      <c r="I11" s="249" t="str">
        <f>IF(output_type=1,Lookup!$F$29,IF(output_type=2,Lookup!$F$30,""))</f>
        <v/>
      </c>
      <c r="J11" s="3"/>
      <c r="K11" s="254" t="str">
        <f>IF(ISBLANK(output_type),"Select analogue or digital load cell.","")</f>
        <v>Select analogue or digital load cell.</v>
      </c>
      <c r="L11" s="37"/>
      <c r="M11" s="10"/>
      <c r="N11" s="4"/>
      <c r="O11" s="289"/>
      <c r="P11" s="289"/>
      <c r="Q11" s="289"/>
    </row>
    <row r="12" spans="1:19" ht="15.9" customHeight="1">
      <c r="A12" s="4"/>
      <c r="B12" s="9"/>
      <c r="C12" s="36"/>
      <c r="D12" s="3"/>
      <c r="E12" s="3"/>
      <c r="F12" s="3"/>
      <c r="G12" s="22" t="s">
        <v>52</v>
      </c>
      <c r="H12" s="11"/>
      <c r="I12" s="202"/>
      <c r="J12" s="3" t="str">
        <f>IF(Lookup!$C$3=1,"t","kg")</f>
        <v>kg</v>
      </c>
      <c r="K12" s="3"/>
      <c r="L12" s="37"/>
      <c r="M12" s="10"/>
      <c r="N12" s="4"/>
      <c r="O12" s="289"/>
      <c r="P12" s="289"/>
      <c r="Q12" s="289"/>
      <c r="S12" s="1">
        <f>IF(Lookup!$C$3=1,1000,1)</f>
        <v>1</v>
      </c>
    </row>
    <row r="13" spans="1:19" ht="15.9" customHeight="1">
      <c r="A13" s="4"/>
      <c r="B13" s="9"/>
      <c r="C13" s="36"/>
      <c r="D13" s="3"/>
      <c r="E13" s="3"/>
      <c r="F13" s="3"/>
      <c r="G13" s="22" t="s">
        <v>53</v>
      </c>
      <c r="H13" s="11"/>
      <c r="I13" s="202"/>
      <c r="J13" s="3" t="s">
        <v>54</v>
      </c>
      <c r="K13" s="3"/>
      <c r="L13" s="37"/>
      <c r="M13" s="10"/>
      <c r="N13" s="4"/>
      <c r="O13" s="289"/>
      <c r="P13" s="289"/>
      <c r="Q13" s="289"/>
    </row>
    <row r="14" spans="1:19" ht="15.9" customHeight="1">
      <c r="A14" s="4"/>
      <c r="B14" s="9"/>
      <c r="C14" s="36"/>
      <c r="D14" s="3"/>
      <c r="E14" s="3"/>
      <c r="F14" s="3"/>
      <c r="G14" s="22" t="s">
        <v>55</v>
      </c>
      <c r="H14" s="11"/>
      <c r="I14" s="202"/>
      <c r="J14" s="3" t="s">
        <v>16</v>
      </c>
      <c r="K14" s="3"/>
      <c r="L14" s="37"/>
      <c r="M14" s="10"/>
      <c r="N14" s="4"/>
      <c r="O14" s="289"/>
      <c r="P14" s="289"/>
      <c r="Q14" s="289"/>
    </row>
    <row r="15" spans="1:19" ht="15.9" customHeight="1">
      <c r="A15" s="4"/>
      <c r="B15" s="9"/>
      <c r="C15" s="36"/>
      <c r="D15" s="3"/>
      <c r="E15" s="3"/>
      <c r="F15" s="3"/>
      <c r="G15" s="22" t="s">
        <v>56</v>
      </c>
      <c r="H15" s="11"/>
      <c r="I15" s="202"/>
      <c r="J15" s="3" t="s">
        <v>16</v>
      </c>
      <c r="K15" s="3"/>
      <c r="L15" s="37"/>
      <c r="M15" s="10"/>
      <c r="N15" s="4"/>
      <c r="O15" s="289"/>
      <c r="P15" s="289"/>
      <c r="Q15" s="289"/>
    </row>
    <row r="16" spans="1:19" ht="15.9" customHeight="1">
      <c r="A16" s="4"/>
      <c r="B16" s="9"/>
      <c r="C16" s="36"/>
      <c r="D16" s="3"/>
      <c r="E16" s="3"/>
      <c r="F16" s="3"/>
      <c r="G16" s="22" t="s">
        <v>57</v>
      </c>
      <c r="H16" s="11"/>
      <c r="I16" s="202"/>
      <c r="J16" s="3" t="s">
        <v>58</v>
      </c>
      <c r="K16" s="254" t="str">
        <f>IF(output_type=2,"Do not complete this field.","")</f>
        <v/>
      </c>
      <c r="L16" s="37"/>
      <c r="M16" s="10"/>
      <c r="N16" s="4"/>
      <c r="O16" s="289"/>
      <c r="P16" s="289"/>
      <c r="Q16" s="289"/>
    </row>
    <row r="17" spans="1:17" ht="15.9" customHeight="1">
      <c r="A17" s="4"/>
      <c r="B17" s="9"/>
      <c r="C17" s="36"/>
      <c r="D17" s="3"/>
      <c r="E17" s="3"/>
      <c r="F17" s="3"/>
      <c r="G17" s="22" t="s">
        <v>59</v>
      </c>
      <c r="H17" s="11"/>
      <c r="I17" s="202"/>
      <c r="J17" s="12" t="s">
        <v>60</v>
      </c>
      <c r="K17" s="254" t="str">
        <f>IF(output_type=2,"Do not complete this field.","")</f>
        <v/>
      </c>
      <c r="L17" s="37"/>
      <c r="M17" s="10"/>
      <c r="N17" s="4"/>
      <c r="O17" s="289"/>
      <c r="P17" s="289"/>
      <c r="Q17" s="289"/>
    </row>
    <row r="18" spans="1:17" ht="15.9" customHeight="1">
      <c r="A18" s="4"/>
      <c r="B18" s="9"/>
      <c r="C18" s="36"/>
      <c r="D18" s="3"/>
      <c r="E18" s="3"/>
      <c r="F18" s="3"/>
      <c r="G18" s="22" t="s">
        <v>61</v>
      </c>
      <c r="H18" s="11"/>
      <c r="I18" s="243"/>
      <c r="J18" s="3" t="s">
        <v>62</v>
      </c>
      <c r="K18" s="3"/>
      <c r="L18" s="37"/>
      <c r="M18" s="10"/>
      <c r="N18" s="4"/>
      <c r="O18" s="289"/>
      <c r="P18" s="289"/>
      <c r="Q18" s="289"/>
    </row>
    <row r="19" spans="1:17" ht="3.75" customHeight="1">
      <c r="A19" s="4"/>
      <c r="B19" s="9"/>
      <c r="C19" s="36"/>
      <c r="D19" s="3"/>
      <c r="E19" s="3"/>
      <c r="F19" s="3"/>
      <c r="G19" s="22"/>
      <c r="H19" s="11"/>
      <c r="I19" s="3"/>
      <c r="J19" s="3"/>
      <c r="K19" s="3"/>
      <c r="L19" s="37"/>
      <c r="M19" s="10"/>
      <c r="N19" s="4"/>
      <c r="O19" s="289"/>
      <c r="P19" s="289"/>
      <c r="Q19" s="289"/>
    </row>
    <row r="20" spans="1:17" ht="15.75" customHeight="1">
      <c r="A20" s="4"/>
      <c r="B20" s="9"/>
      <c r="C20" s="36"/>
      <c r="D20" s="3"/>
      <c r="E20" s="3"/>
      <c r="F20" s="3"/>
      <c r="G20" s="22" t="s">
        <v>239</v>
      </c>
      <c r="H20" s="11"/>
      <c r="I20" s="202" t="str">
        <f>IF(Lookup!F13=1,"Yes","No")</f>
        <v>No</v>
      </c>
      <c r="J20" s="3"/>
      <c r="K20" s="3"/>
      <c r="L20" s="37"/>
      <c r="M20" s="10"/>
      <c r="N20" s="4"/>
      <c r="O20" s="289"/>
      <c r="P20" s="289"/>
      <c r="Q20" s="289"/>
    </row>
    <row r="21" spans="1:17" ht="15.9" customHeight="1">
      <c r="A21" s="4"/>
      <c r="B21" s="9"/>
      <c r="C21" s="36"/>
      <c r="D21" s="3"/>
      <c r="E21" s="3"/>
      <c r="F21" s="3"/>
      <c r="G21" s="102" t="str">
        <f>IF(I20="Yes","Required number of linearisation points:","")</f>
        <v/>
      </c>
      <c r="H21" s="11"/>
      <c r="I21" s="202"/>
      <c r="J21" s="77"/>
      <c r="K21" s="77" t="str">
        <f>IF(I20="No","Do not complete this field.","")</f>
        <v>Do not complete this field.</v>
      </c>
      <c r="L21" s="37"/>
      <c r="M21" s="10"/>
      <c r="N21" s="4"/>
      <c r="O21" s="289"/>
      <c r="P21" s="289"/>
      <c r="Q21" s="289"/>
    </row>
    <row r="22" spans="1:17">
      <c r="A22" s="4"/>
      <c r="B22" s="9"/>
      <c r="C22" s="41"/>
      <c r="D22" s="42"/>
      <c r="E22" s="42"/>
      <c r="F22" s="42"/>
      <c r="G22" s="42"/>
      <c r="H22" s="42"/>
      <c r="I22" s="42"/>
      <c r="J22" s="42"/>
      <c r="K22" s="42"/>
      <c r="L22" s="45"/>
      <c r="M22" s="10"/>
      <c r="N22" s="4"/>
      <c r="O22" s="289"/>
      <c r="P22" s="289"/>
      <c r="Q22" s="289"/>
    </row>
    <row r="23" spans="1:17" ht="20.149999999999999" customHeight="1">
      <c r="A23" s="4"/>
      <c r="B23" s="9"/>
      <c r="C23" s="13"/>
      <c r="D23" s="13"/>
      <c r="E23" s="13"/>
      <c r="F23" s="13"/>
      <c r="G23" s="13"/>
      <c r="H23" s="13"/>
      <c r="I23" s="13"/>
      <c r="J23" s="13"/>
      <c r="K23" s="13"/>
      <c r="L23" s="13"/>
      <c r="M23" s="10"/>
      <c r="N23" s="4"/>
      <c r="O23" s="289"/>
      <c r="P23" s="289"/>
      <c r="Q23" s="289"/>
    </row>
    <row r="24" spans="1:17" ht="20">
      <c r="A24" s="4"/>
      <c r="B24" s="9"/>
      <c r="C24" s="49" t="s">
        <v>63</v>
      </c>
      <c r="D24" s="50"/>
      <c r="E24" s="50"/>
      <c r="F24" s="50"/>
      <c r="G24" s="50"/>
      <c r="H24" s="50"/>
      <c r="I24" s="50"/>
      <c r="J24" s="50"/>
      <c r="K24" s="50"/>
      <c r="L24" s="51"/>
      <c r="M24" s="10"/>
      <c r="N24" s="4"/>
      <c r="O24" s="289"/>
      <c r="P24" s="289"/>
      <c r="Q24" s="289"/>
    </row>
    <row r="25" spans="1:17" ht="9.75" customHeight="1">
      <c r="A25" s="4"/>
      <c r="B25" s="9"/>
      <c r="C25" s="52"/>
      <c r="D25" s="14"/>
      <c r="E25" s="14"/>
      <c r="F25" s="14"/>
      <c r="G25" s="14"/>
      <c r="H25" s="14"/>
      <c r="I25" s="14"/>
      <c r="J25" s="14"/>
      <c r="K25" s="14"/>
      <c r="L25" s="53"/>
      <c r="M25" s="10"/>
      <c r="N25" s="4"/>
      <c r="O25" s="289"/>
      <c r="P25" s="289"/>
      <c r="Q25" s="289"/>
    </row>
    <row r="26" spans="1:17" ht="15.9" customHeight="1">
      <c r="A26" s="4"/>
      <c r="B26" s="9"/>
      <c r="C26" s="52"/>
      <c r="D26" s="14"/>
      <c r="E26" s="14"/>
      <c r="F26" s="14"/>
      <c r="G26" s="15" t="s">
        <v>49</v>
      </c>
      <c r="H26" s="20" t="s">
        <v>50</v>
      </c>
      <c r="I26" s="202"/>
      <c r="J26" s="14"/>
      <c r="K26" s="14"/>
      <c r="L26" s="53"/>
      <c r="M26" s="10"/>
      <c r="N26" s="4"/>
      <c r="O26" s="289"/>
      <c r="P26" s="289"/>
      <c r="Q26" s="289"/>
    </row>
    <row r="27" spans="1:17" ht="15.9" customHeight="1">
      <c r="A27" s="4"/>
      <c r="B27" s="9"/>
      <c r="C27" s="52"/>
      <c r="D27" s="14"/>
      <c r="E27" s="14"/>
      <c r="F27" s="14"/>
      <c r="G27" s="69" t="s">
        <v>240</v>
      </c>
      <c r="H27" s="15"/>
      <c r="I27" s="280"/>
      <c r="J27" s="269" t="s">
        <v>244</v>
      </c>
      <c r="K27" s="14"/>
      <c r="L27" s="53"/>
      <c r="M27" s="10"/>
      <c r="N27" s="4"/>
      <c r="O27" s="289"/>
      <c r="P27" s="289"/>
      <c r="Q27" s="289"/>
    </row>
    <row r="28" spans="1:17" ht="15.9" customHeight="1">
      <c r="A28" s="4"/>
      <c r="B28" s="9"/>
      <c r="C28" s="52"/>
      <c r="D28" s="14"/>
      <c r="E28" s="14"/>
      <c r="F28" s="14"/>
      <c r="G28" s="15" t="s">
        <v>5</v>
      </c>
      <c r="H28" s="15"/>
      <c r="I28" s="302"/>
      <c r="J28" s="300"/>
      <c r="K28" s="301"/>
      <c r="L28" s="53"/>
      <c r="M28" s="10"/>
      <c r="N28" s="4"/>
      <c r="O28" s="289"/>
      <c r="P28" s="289"/>
      <c r="Q28" s="289"/>
    </row>
    <row r="29" spans="1:17" ht="15.9" customHeight="1">
      <c r="A29" s="4"/>
      <c r="B29" s="9"/>
      <c r="C29" s="52"/>
      <c r="D29" s="14"/>
      <c r="E29" s="14"/>
      <c r="F29" s="14"/>
      <c r="G29" s="15" t="s">
        <v>6</v>
      </c>
      <c r="H29" s="15"/>
      <c r="I29" s="302"/>
      <c r="J29" s="300"/>
      <c r="K29" s="301"/>
      <c r="L29" s="53"/>
      <c r="M29" s="10"/>
      <c r="N29" s="4"/>
      <c r="O29" s="289"/>
      <c r="P29" s="289"/>
      <c r="Q29" s="289"/>
    </row>
    <row r="30" spans="1:17" ht="3.75" customHeight="1">
      <c r="A30" s="4"/>
      <c r="B30" s="9"/>
      <c r="C30" s="52"/>
      <c r="D30" s="14"/>
      <c r="E30" s="14"/>
      <c r="F30" s="14"/>
      <c r="G30" s="248"/>
      <c r="H30" s="15"/>
      <c r="I30" s="250"/>
      <c r="J30" s="250"/>
      <c r="K30" s="250"/>
      <c r="L30" s="53"/>
      <c r="M30" s="10"/>
      <c r="N30" s="4"/>
      <c r="O30" s="289"/>
      <c r="P30" s="289"/>
      <c r="Q30" s="289"/>
    </row>
    <row r="31" spans="1:17" ht="15.9" customHeight="1">
      <c r="A31" s="4"/>
      <c r="B31" s="9"/>
      <c r="C31" s="52"/>
      <c r="D31" s="14"/>
      <c r="E31" s="14"/>
      <c r="F31" s="14"/>
      <c r="G31" s="15" t="s">
        <v>53</v>
      </c>
      <c r="H31" s="15"/>
      <c r="I31" s="202"/>
      <c r="J31" s="14" t="s">
        <v>54</v>
      </c>
      <c r="K31" s="252" t="str">
        <f>IF(ISBLANK(ind_max_e),"",IF(output_type=2,IF(ind_max_e=cell_max_e,"","Check no. of VSI of the indicator!"),""))</f>
        <v/>
      </c>
      <c r="L31" s="53"/>
      <c r="M31" s="10"/>
      <c r="N31" s="4"/>
      <c r="O31" s="289"/>
      <c r="P31" s="289"/>
      <c r="Q31" s="289"/>
    </row>
    <row r="32" spans="1:17" ht="15.9" customHeight="1">
      <c r="A32" s="4"/>
      <c r="B32" s="9"/>
      <c r="C32" s="52"/>
      <c r="D32" s="14"/>
      <c r="E32" s="14"/>
      <c r="F32" s="14"/>
      <c r="G32" s="15" t="s">
        <v>64</v>
      </c>
      <c r="H32" s="15"/>
      <c r="I32" s="202"/>
      <c r="J32" s="16" t="s">
        <v>65</v>
      </c>
      <c r="K32" s="251" t="str">
        <f>IF(output_type=2,"Do not complete this field.","")</f>
        <v/>
      </c>
      <c r="L32" s="53"/>
      <c r="M32" s="10"/>
      <c r="N32" s="4"/>
      <c r="O32" s="289"/>
      <c r="P32" s="289"/>
      <c r="Q32" s="289"/>
    </row>
    <row r="33" spans="1:17" ht="15.9" customHeight="1">
      <c r="A33" s="4"/>
      <c r="B33" s="9"/>
      <c r="C33" s="52"/>
      <c r="D33" s="14"/>
      <c r="E33" s="14"/>
      <c r="F33" s="14"/>
      <c r="G33" s="248" t="s">
        <v>66</v>
      </c>
      <c r="H33" s="15"/>
      <c r="I33" s="202"/>
      <c r="J33" s="14" t="s">
        <v>62</v>
      </c>
      <c r="K33" s="251" t="str">
        <f>IF(output_type=2,"Do not complete this field.","")</f>
        <v/>
      </c>
      <c r="L33" s="53"/>
      <c r="M33" s="10"/>
      <c r="N33" s="4"/>
      <c r="O33" s="289"/>
      <c r="P33" s="289"/>
      <c r="Q33" s="289"/>
    </row>
    <row r="34" spans="1:17" ht="15.9" customHeight="1">
      <c r="A34" s="4"/>
      <c r="B34" s="9"/>
      <c r="C34" s="52"/>
      <c r="D34" s="14"/>
      <c r="E34" s="14"/>
      <c r="F34" s="14"/>
      <c r="G34" s="15" t="s">
        <v>67</v>
      </c>
      <c r="H34" s="15"/>
      <c r="I34" s="202"/>
      <c r="J34" s="16" t="s">
        <v>60</v>
      </c>
      <c r="K34" s="104" t="str">
        <f>IF(output_type=2,"Do not complete this field.","")</f>
        <v/>
      </c>
      <c r="L34" s="53"/>
      <c r="M34" s="10"/>
      <c r="N34" s="4"/>
      <c r="O34" s="289"/>
      <c r="P34" s="289"/>
      <c r="Q34" s="289"/>
    </row>
    <row r="35" spans="1:17" ht="15.9" customHeight="1">
      <c r="A35" s="4"/>
      <c r="B35" s="9"/>
      <c r="C35" s="52"/>
      <c r="D35" s="14"/>
      <c r="E35" s="14"/>
      <c r="F35" s="14"/>
      <c r="G35" s="15" t="s">
        <v>68</v>
      </c>
      <c r="H35" s="15"/>
      <c r="I35" s="202"/>
      <c r="J35" s="14" t="s">
        <v>69</v>
      </c>
      <c r="K35" s="104" t="str">
        <f>IF(output_type=2,"Do not complete this field.","")</f>
        <v/>
      </c>
      <c r="L35" s="53"/>
      <c r="M35" s="10"/>
      <c r="N35" s="4"/>
      <c r="O35" s="289"/>
      <c r="P35" s="289"/>
      <c r="Q35" s="289"/>
    </row>
    <row r="36" spans="1:17" ht="3.75" customHeight="1">
      <c r="A36" s="4"/>
      <c r="B36" s="9"/>
      <c r="C36" s="52"/>
      <c r="D36" s="14"/>
      <c r="E36" s="14"/>
      <c r="F36" s="14"/>
      <c r="G36" s="69"/>
      <c r="H36" s="15"/>
      <c r="I36" s="14"/>
      <c r="J36" s="14"/>
      <c r="K36" s="14"/>
      <c r="L36" s="53"/>
      <c r="M36" s="10"/>
      <c r="N36" s="4"/>
      <c r="O36" s="289"/>
      <c r="P36" s="289"/>
      <c r="Q36" s="289"/>
    </row>
    <row r="37" spans="1:17" ht="15.9" customHeight="1">
      <c r="A37" s="4"/>
      <c r="B37" s="9"/>
      <c r="C37" s="52"/>
      <c r="D37" s="14"/>
      <c r="E37" s="14"/>
      <c r="F37" s="14"/>
      <c r="G37" s="103" t="str">
        <f>IF(I20="Yes","Does indicator have a linearisation facility?","")</f>
        <v/>
      </c>
      <c r="H37" s="15"/>
      <c r="I37" s="206" t="str">
        <f>IF(Lookup!F14=1,"Yes","No")</f>
        <v>No</v>
      </c>
      <c r="J37" s="104"/>
      <c r="K37" s="104" t="str">
        <f>IF($I$20="No","Do not complete this field.","")</f>
        <v>Do not complete this field.</v>
      </c>
      <c r="L37" s="53"/>
      <c r="M37" s="10"/>
      <c r="N37" s="4"/>
      <c r="O37" s="289"/>
      <c r="P37" s="289"/>
      <c r="Q37" s="289"/>
    </row>
    <row r="38" spans="1:17" ht="15.9" customHeight="1">
      <c r="A38" s="4"/>
      <c r="B38" s="9"/>
      <c r="C38" s="52"/>
      <c r="D38" s="14"/>
      <c r="E38" s="14"/>
      <c r="F38" s="14"/>
      <c r="G38" s="103" t="str">
        <f>IF(I37="Yes","Number of linearisation points available?","")</f>
        <v/>
      </c>
      <c r="H38" s="15"/>
      <c r="I38" s="202"/>
      <c r="J38" s="104"/>
      <c r="K38" s="104" t="str">
        <f>IF($I$20="No","Do not complete this field.","")</f>
        <v>Do not complete this field.</v>
      </c>
      <c r="L38" s="53"/>
      <c r="M38" s="10"/>
      <c r="N38" s="4"/>
      <c r="O38" s="289"/>
      <c r="P38" s="289"/>
      <c r="Q38" s="289"/>
    </row>
    <row r="39" spans="1:17" ht="3.75" customHeight="1">
      <c r="A39" s="4"/>
      <c r="B39" s="9"/>
      <c r="C39" s="52"/>
      <c r="D39" s="14"/>
      <c r="E39" s="14"/>
      <c r="F39" s="14"/>
      <c r="G39" s="69"/>
      <c r="H39" s="15"/>
      <c r="I39" s="14"/>
      <c r="J39" s="14"/>
      <c r="K39" s="14"/>
      <c r="L39" s="53"/>
      <c r="M39" s="10"/>
      <c r="N39" s="4"/>
      <c r="O39" s="289"/>
      <c r="P39" s="289"/>
      <c r="Q39" s="289"/>
    </row>
    <row r="40" spans="1:17" ht="15.9" customHeight="1">
      <c r="A40" s="4"/>
      <c r="B40" s="9"/>
      <c r="C40" s="52"/>
      <c r="D40" s="14"/>
      <c r="E40" s="14"/>
      <c r="F40" s="14"/>
      <c r="G40" s="103" t="str">
        <f>IF(Lookup!$H$9=2,"Is indicator approved for Multiple range ?",IF(Lookup!$H$9=3,"Is indicator approved for multi-interval?",""))</f>
        <v/>
      </c>
      <c r="H40" s="15"/>
      <c r="I40" s="202" t="str">
        <f>IF(Lookup!$G$19=1,"Yes","No")</f>
        <v>No</v>
      </c>
      <c r="J40" s="104"/>
      <c r="K40" s="104" t="str">
        <f>IF($I$20="No","Do not complete this field.","")</f>
        <v>Do not complete this field.</v>
      </c>
      <c r="L40" s="53"/>
      <c r="M40" s="10"/>
      <c r="N40" s="4"/>
      <c r="O40" s="289"/>
      <c r="P40" s="289"/>
      <c r="Q40" s="289"/>
    </row>
    <row r="41" spans="1:17" ht="15.9" customHeight="1">
      <c r="A41" s="4"/>
      <c r="B41" s="9"/>
      <c r="C41" s="52"/>
      <c r="D41" s="14"/>
      <c r="E41" s="14"/>
      <c r="F41" s="14"/>
      <c r="G41" s="105" t="str">
        <f>IF(I40="Yes","How many ranges are available ?","")</f>
        <v/>
      </c>
      <c r="H41" s="15"/>
      <c r="I41" s="202"/>
      <c r="J41" s="104"/>
      <c r="K41" s="104" t="str">
        <f>IF($I$20="No","Do not complete this field.","")</f>
        <v>Do not complete this field.</v>
      </c>
      <c r="L41" s="53"/>
      <c r="M41" s="10"/>
      <c r="N41" s="4"/>
      <c r="O41" s="289"/>
      <c r="P41" s="289"/>
      <c r="Q41" s="289"/>
    </row>
    <row r="42" spans="1:17" ht="15.9" customHeight="1">
      <c r="A42" s="4"/>
      <c r="B42" s="9"/>
      <c r="C42" s="52"/>
      <c r="D42" s="14"/>
      <c r="E42" s="14"/>
      <c r="F42" s="14"/>
      <c r="G42" s="70"/>
      <c r="H42" s="15"/>
      <c r="I42" s="85"/>
      <c r="J42" s="14"/>
      <c r="K42" s="14"/>
      <c r="L42" s="53"/>
      <c r="M42" s="10"/>
      <c r="N42" s="4"/>
      <c r="O42" s="289"/>
      <c r="P42" s="289"/>
      <c r="Q42" s="289"/>
    </row>
    <row r="43" spans="1:17">
      <c r="A43" s="4"/>
      <c r="B43" s="9"/>
      <c r="C43" s="54"/>
      <c r="D43" s="55"/>
      <c r="E43" s="55"/>
      <c r="F43" s="55"/>
      <c r="G43" s="55"/>
      <c r="H43" s="55"/>
      <c r="I43" s="253"/>
      <c r="J43" s="55"/>
      <c r="K43" s="55"/>
      <c r="L43" s="56"/>
      <c r="M43" s="10"/>
      <c r="N43" s="4"/>
      <c r="O43" s="289"/>
      <c r="P43" s="289"/>
      <c r="Q43" s="289"/>
    </row>
    <row r="44" spans="1:17" ht="20.149999999999999" customHeight="1">
      <c r="A44" s="4"/>
      <c r="B44" s="17"/>
      <c r="C44" s="18"/>
      <c r="D44" s="18"/>
      <c r="E44" s="18"/>
      <c r="F44" s="18"/>
      <c r="G44" s="18"/>
      <c r="H44" s="18"/>
      <c r="I44" s="18"/>
      <c r="J44" s="18"/>
      <c r="K44" s="18"/>
      <c r="L44" s="18"/>
      <c r="M44" s="19"/>
      <c r="N44" s="4"/>
      <c r="O44" s="289"/>
      <c r="P44" s="289"/>
      <c r="Q44" s="289"/>
    </row>
    <row r="45" spans="1:17">
      <c r="A45" s="4"/>
      <c r="B45" s="4"/>
      <c r="C45" s="4"/>
      <c r="D45" s="4"/>
      <c r="E45" s="4"/>
      <c r="F45" s="4"/>
      <c r="G45" s="4"/>
      <c r="H45" s="4"/>
      <c r="I45" s="4"/>
      <c r="J45" s="4"/>
      <c r="K45" s="4"/>
      <c r="L45" s="4"/>
      <c r="M45" s="4"/>
      <c r="N45" s="4"/>
      <c r="O45" s="289"/>
      <c r="P45" s="289"/>
      <c r="Q45" s="289"/>
    </row>
    <row r="46" spans="1:17">
      <c r="A46" s="4"/>
      <c r="B46" s="4"/>
      <c r="C46" s="4"/>
      <c r="D46" s="4"/>
      <c r="E46" s="4"/>
      <c r="F46" s="4"/>
      <c r="G46" s="4"/>
      <c r="H46" s="4"/>
      <c r="I46" s="4"/>
      <c r="J46" s="4"/>
      <c r="K46" s="4"/>
      <c r="L46" s="4"/>
      <c r="M46" s="4"/>
      <c r="N46" s="4"/>
      <c r="O46" s="289"/>
      <c r="P46" s="289"/>
      <c r="Q46" s="289"/>
    </row>
    <row r="47" spans="1:17">
      <c r="A47" s="4"/>
      <c r="B47" s="4"/>
      <c r="C47" s="4"/>
      <c r="D47" s="4"/>
      <c r="E47" s="4"/>
      <c r="F47" s="4"/>
      <c r="G47" s="4"/>
      <c r="H47" s="4"/>
      <c r="I47" s="4"/>
      <c r="J47" s="4"/>
      <c r="K47" s="4"/>
      <c r="L47" s="4"/>
      <c r="M47" s="4"/>
      <c r="N47" s="4"/>
      <c r="O47" s="289"/>
      <c r="P47" s="289"/>
      <c r="Q47" s="289"/>
    </row>
    <row r="48" spans="1:17">
      <c r="A48" s="4"/>
      <c r="B48" s="4"/>
      <c r="C48" s="4"/>
      <c r="D48" s="4"/>
      <c r="E48" s="4"/>
      <c r="F48" s="4"/>
      <c r="G48" s="4"/>
      <c r="H48" s="4"/>
      <c r="I48" s="4"/>
      <c r="J48" s="4"/>
      <c r="K48" s="4"/>
      <c r="L48" s="4"/>
      <c r="M48" s="4"/>
      <c r="N48" s="4"/>
      <c r="O48" s="289"/>
      <c r="P48" s="289"/>
      <c r="Q48" s="289"/>
    </row>
    <row r="49" spans="1:17">
      <c r="A49" s="4"/>
      <c r="B49" s="4"/>
      <c r="C49" s="4"/>
      <c r="D49" s="4"/>
      <c r="E49" s="4"/>
      <c r="F49" s="4"/>
      <c r="G49" s="4"/>
      <c r="H49" s="4"/>
      <c r="I49" s="4"/>
      <c r="J49" s="4"/>
      <c r="K49" s="4"/>
      <c r="L49" s="4"/>
      <c r="M49" s="4"/>
      <c r="N49" s="4"/>
      <c r="O49" s="289"/>
      <c r="P49" s="289"/>
      <c r="Q49" s="289"/>
    </row>
    <row r="50" spans="1:17">
      <c r="A50" s="4"/>
      <c r="B50" s="4"/>
      <c r="C50" s="4"/>
      <c r="D50" s="4"/>
      <c r="E50" s="4"/>
      <c r="F50" s="4"/>
      <c r="G50" s="4"/>
      <c r="H50" s="4"/>
      <c r="I50" s="4"/>
      <c r="J50" s="4"/>
      <c r="K50" s="4"/>
      <c r="L50" s="4"/>
      <c r="M50" s="4"/>
      <c r="N50" s="4"/>
      <c r="O50" s="289"/>
      <c r="P50" s="289"/>
      <c r="Q50" s="289"/>
    </row>
    <row r="51" spans="1:17">
      <c r="A51" s="4"/>
      <c r="B51" s="4"/>
      <c r="C51" s="4"/>
      <c r="D51" s="4"/>
      <c r="E51" s="4"/>
      <c r="F51" s="4"/>
      <c r="G51" s="4"/>
      <c r="H51" s="4"/>
      <c r="I51" s="4"/>
      <c r="J51" s="4"/>
      <c r="K51" s="4"/>
      <c r="L51" s="4"/>
      <c r="M51" s="4"/>
      <c r="N51" s="4"/>
      <c r="O51" s="289"/>
      <c r="P51" s="289"/>
      <c r="Q51" s="289"/>
    </row>
    <row r="52" spans="1:17" ht="12.5" customHeight="1">
      <c r="A52" s="4"/>
      <c r="B52" s="4"/>
      <c r="C52" s="4"/>
      <c r="D52" s="4"/>
      <c r="E52" s="4"/>
      <c r="F52" s="4"/>
      <c r="G52" s="4"/>
      <c r="H52" s="4"/>
      <c r="I52" s="4"/>
      <c r="J52" s="4"/>
      <c r="K52" s="4"/>
      <c r="L52" s="4"/>
      <c r="M52" s="4"/>
      <c r="N52" s="4"/>
      <c r="O52" s="289"/>
      <c r="P52" s="289"/>
      <c r="Q52" s="289"/>
    </row>
    <row r="53" spans="1:17" ht="12.5" customHeight="1"/>
  </sheetData>
  <sheetProtection password="CC40" sheet="1"/>
  <mergeCells count="4">
    <mergeCell ref="I9:K9"/>
    <mergeCell ref="I10:K10"/>
    <mergeCell ref="I28:K28"/>
    <mergeCell ref="I29:K29"/>
  </mergeCells>
  <phoneticPr fontId="0" type="noConversion"/>
  <pageMargins left="0.55118110236220474" right="0.35433070866141736" top="0.86614173228346458" bottom="1.0629921259842521" header="0.51181102362204722" footer="0.51181102362204722"/>
  <pageSetup scale="95" orientation="portrait" blackAndWhite="1" r:id="rId1"/>
  <headerFooter alignWithMargins="0">
    <oddFooter>&amp;CPage ...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print="0" autoFill="0" autoLine="0" autoPict="0">
                <anchor moveWithCells="1">
                  <from>
                    <xdr:col>9</xdr:col>
                    <xdr:colOff>0</xdr:colOff>
                    <xdr:row>11</xdr:row>
                    <xdr:rowOff>0</xdr:rowOff>
                  </from>
                  <to>
                    <xdr:col>10</xdr:col>
                    <xdr:colOff>88900</xdr:colOff>
                    <xdr:row>12</xdr:row>
                    <xdr:rowOff>0</xdr:rowOff>
                  </to>
                </anchor>
              </controlPr>
            </control>
          </mc:Choice>
        </mc:AlternateContent>
        <mc:AlternateContent xmlns:mc="http://schemas.openxmlformats.org/markup-compatibility/2006">
          <mc:Choice Requires="x14">
            <control shapeId="3074" r:id="rId5" name="Drop Down 2">
              <controlPr defaultSize="0" print="0" autoFill="0" autoLine="0" autoPict="0">
                <anchor moveWithCells="1">
                  <from>
                    <xdr:col>8</xdr:col>
                    <xdr:colOff>0</xdr:colOff>
                    <xdr:row>19</xdr:row>
                    <xdr:rowOff>0</xdr:rowOff>
                  </from>
                  <to>
                    <xdr:col>9</xdr:col>
                    <xdr:colOff>6350</xdr:colOff>
                    <xdr:row>20</xdr:row>
                    <xdr:rowOff>12700</xdr:rowOff>
                  </to>
                </anchor>
              </controlPr>
            </control>
          </mc:Choice>
        </mc:AlternateContent>
        <mc:AlternateContent xmlns:mc="http://schemas.openxmlformats.org/markup-compatibility/2006">
          <mc:Choice Requires="x14">
            <control shapeId="3075" r:id="rId6" name="Drop Down 3">
              <controlPr defaultSize="0" print="0" autoFill="0" autoLine="0" autoPict="0">
                <anchor moveWithCells="1">
                  <from>
                    <xdr:col>8</xdr:col>
                    <xdr:colOff>0</xdr:colOff>
                    <xdr:row>36</xdr:row>
                    <xdr:rowOff>0</xdr:rowOff>
                  </from>
                  <to>
                    <xdr:col>9</xdr:col>
                    <xdr:colOff>6350</xdr:colOff>
                    <xdr:row>37</xdr:row>
                    <xdr:rowOff>12700</xdr:rowOff>
                  </to>
                </anchor>
              </controlPr>
            </control>
          </mc:Choice>
        </mc:AlternateContent>
        <mc:AlternateContent xmlns:mc="http://schemas.openxmlformats.org/markup-compatibility/2006">
          <mc:Choice Requires="x14">
            <control shapeId="3076" r:id="rId7" name="Drop Down 4">
              <controlPr defaultSize="0" print="0" autoFill="0" autoLine="0" autoPict="0">
                <anchor moveWithCells="1">
                  <from>
                    <xdr:col>8</xdr:col>
                    <xdr:colOff>0</xdr:colOff>
                    <xdr:row>39</xdr:row>
                    <xdr:rowOff>0</xdr:rowOff>
                  </from>
                  <to>
                    <xdr:col>9</xdr:col>
                    <xdr:colOff>6350</xdr:colOff>
                    <xdr:row>40</xdr:row>
                    <xdr:rowOff>12700</xdr:rowOff>
                  </to>
                </anchor>
              </controlPr>
            </control>
          </mc:Choice>
        </mc:AlternateContent>
        <mc:AlternateContent xmlns:mc="http://schemas.openxmlformats.org/markup-compatibility/2006">
          <mc:Choice Requires="x14">
            <control shapeId="3080" r:id="rId8" name="Drop Down 8">
              <controlPr defaultSize="0" print="0" autoFill="0" autoLine="0" autoPict="0">
                <anchor moveWithCells="1">
                  <from>
                    <xdr:col>8</xdr:col>
                    <xdr:colOff>0</xdr:colOff>
                    <xdr:row>10</xdr:row>
                    <xdr:rowOff>0</xdr:rowOff>
                  </from>
                  <to>
                    <xdr:col>9</xdr:col>
                    <xdr:colOff>6350</xdr:colOff>
                    <xdr:row>11</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44"/>
  <sheetViews>
    <sheetView workbookViewId="0">
      <selection activeCell="H8" sqref="H8"/>
    </sheetView>
  </sheetViews>
  <sheetFormatPr defaultRowHeight="12.5"/>
  <cols>
    <col min="1" max="2" width="4.6328125" customWidth="1"/>
    <col min="3" max="3" width="2.6328125" customWidth="1"/>
    <col min="4" max="4" width="7.08984375" customWidth="1"/>
    <col min="5" max="5" width="19.453125" customWidth="1"/>
    <col min="6" max="6" width="12.08984375" customWidth="1"/>
    <col min="7" max="7" width="12.54296875" customWidth="1"/>
    <col min="8" max="8" width="13.453125" customWidth="1"/>
    <col min="9" max="9" width="14.36328125" customWidth="1"/>
    <col min="10" max="10" width="10.453125" customWidth="1"/>
    <col min="11" max="11" width="5.6328125" customWidth="1"/>
    <col min="12" max="12" width="4.54296875" customWidth="1"/>
    <col min="13" max="13" width="16.1796875" style="289" customWidth="1"/>
    <col min="14" max="14" width="9.90625" hidden="1" customWidth="1"/>
    <col min="15" max="15" width="10.08984375" hidden="1" customWidth="1"/>
    <col min="16" max="21" width="0" hidden="1" customWidth="1"/>
  </cols>
  <sheetData>
    <row r="1" spans="1:24" ht="15.75" customHeight="1">
      <c r="A1" s="143"/>
      <c r="B1" s="318" t="s">
        <v>174</v>
      </c>
      <c r="C1" s="318"/>
      <c r="D1" s="318"/>
      <c r="E1" s="318"/>
      <c r="F1" s="318"/>
      <c r="G1" s="318"/>
      <c r="H1" s="318"/>
      <c r="I1" s="318"/>
      <c r="J1" s="318"/>
      <c r="K1" s="318"/>
      <c r="L1" s="13"/>
      <c r="M1" s="290"/>
      <c r="N1" s="97"/>
      <c r="O1" s="97"/>
      <c r="P1" s="97"/>
      <c r="Q1" s="98"/>
      <c r="R1" s="98"/>
      <c r="S1" s="97"/>
      <c r="T1" s="97"/>
      <c r="U1" s="97"/>
      <c r="V1" s="97"/>
      <c r="W1" s="97"/>
      <c r="X1" s="97"/>
    </row>
    <row r="2" spans="1:24" ht="15.75" customHeight="1">
      <c r="A2" s="143"/>
      <c r="B2" s="31"/>
      <c r="C2" s="150"/>
      <c r="D2" s="148"/>
      <c r="E2" s="148"/>
      <c r="F2" s="148"/>
      <c r="G2" s="148"/>
      <c r="H2" s="148"/>
      <c r="I2" s="148"/>
      <c r="J2" s="148"/>
      <c r="K2" s="236" t="str">
        <f>ver</f>
        <v>Ver 21</v>
      </c>
      <c r="L2" s="13"/>
      <c r="M2" s="290"/>
      <c r="N2" s="97"/>
      <c r="O2" s="97"/>
      <c r="P2" s="97"/>
      <c r="Q2" s="98"/>
      <c r="R2" s="98"/>
      <c r="S2" s="97"/>
      <c r="T2" s="97"/>
      <c r="U2" s="97"/>
      <c r="V2" s="97"/>
      <c r="W2" s="97"/>
      <c r="X2" s="97"/>
    </row>
    <row r="3" spans="1:24" ht="20.149999999999999" customHeight="1">
      <c r="A3" s="143"/>
      <c r="B3" s="36"/>
      <c r="C3" s="100" t="s">
        <v>70</v>
      </c>
      <c r="D3" s="35"/>
      <c r="E3" s="35"/>
      <c r="F3" s="35"/>
      <c r="G3" s="35"/>
      <c r="H3" s="100"/>
      <c r="I3" s="35"/>
      <c r="J3" s="35"/>
      <c r="K3" s="78"/>
      <c r="L3" s="13"/>
      <c r="M3" s="290"/>
      <c r="N3" s="97"/>
      <c r="O3" s="97"/>
      <c r="P3" s="97"/>
      <c r="Q3" s="97"/>
      <c r="R3" s="97"/>
      <c r="S3" s="97" t="str">
        <f>Cover!H2</f>
        <v>Ver 21</v>
      </c>
      <c r="T3" s="97"/>
      <c r="U3" s="97"/>
      <c r="V3" s="97"/>
      <c r="W3" s="97"/>
      <c r="X3" s="97"/>
    </row>
    <row r="4" spans="1:24" ht="20.149999999999999" customHeight="1">
      <c r="A4" s="143"/>
      <c r="B4" s="36"/>
      <c r="C4" s="100"/>
      <c r="D4" s="35"/>
      <c r="E4" s="35"/>
      <c r="F4" s="35"/>
      <c r="G4" s="35"/>
      <c r="H4" s="100"/>
      <c r="I4" s="35"/>
      <c r="J4" s="35"/>
      <c r="K4" s="78"/>
      <c r="L4" s="13"/>
      <c r="M4" s="290"/>
      <c r="N4" s="97"/>
      <c r="O4" s="97"/>
      <c r="P4" s="97"/>
      <c r="Q4" s="97"/>
      <c r="R4" s="97"/>
      <c r="S4" s="97"/>
      <c r="T4" s="97"/>
      <c r="U4" s="97"/>
      <c r="V4" s="97"/>
      <c r="W4" s="97"/>
      <c r="X4" s="97"/>
    </row>
    <row r="5" spans="1:24" ht="20">
      <c r="A5" s="143"/>
      <c r="B5" s="36"/>
      <c r="C5" s="109"/>
      <c r="D5" s="110"/>
      <c r="E5" s="110"/>
      <c r="F5" s="110"/>
      <c r="G5" s="110"/>
      <c r="H5" s="110"/>
      <c r="I5" s="133"/>
      <c r="J5" s="134"/>
      <c r="K5" s="149"/>
      <c r="L5" s="144"/>
      <c r="M5" s="291"/>
      <c r="N5" s="99"/>
      <c r="O5" s="99"/>
      <c r="P5" s="99"/>
      <c r="Q5" s="99"/>
      <c r="R5" s="99"/>
      <c r="S5" s="97"/>
      <c r="T5" s="97"/>
      <c r="U5" s="97"/>
      <c r="V5" s="97"/>
      <c r="W5" s="97"/>
      <c r="X5" s="97"/>
    </row>
    <row r="6" spans="1:24" ht="13">
      <c r="A6" s="143"/>
      <c r="B6" s="36"/>
      <c r="C6" s="112"/>
      <c r="D6" s="25" t="s">
        <v>71</v>
      </c>
      <c r="E6" s="135" t="s">
        <v>267</v>
      </c>
      <c r="F6" s="135"/>
      <c r="G6" s="231" t="s">
        <v>208</v>
      </c>
      <c r="H6" s="282" t="str">
        <f>IF('Instrument specs'!$N$7="","date not entered",'Instrument specs'!$N$7)</f>
        <v>date not entered</v>
      </c>
      <c r="I6" s="232" t="str">
        <f ca="1">'Instrument specs'!M8</f>
        <v/>
      </c>
      <c r="J6" s="115"/>
      <c r="K6" s="37"/>
      <c r="L6" s="143"/>
      <c r="Q6" s="1" t="s">
        <v>72</v>
      </c>
    </row>
    <row r="7" spans="1:24">
      <c r="A7" s="143"/>
      <c r="B7" s="36"/>
      <c r="C7" s="112"/>
      <c r="D7" s="25"/>
      <c r="E7" s="25"/>
      <c r="F7" s="25"/>
      <c r="G7" s="25"/>
      <c r="H7" s="271" t="s">
        <v>244</v>
      </c>
      <c r="I7" s="25"/>
      <c r="J7" s="115"/>
      <c r="K7" s="37"/>
      <c r="L7" s="143"/>
    </row>
    <row r="8" spans="1:24">
      <c r="A8" s="143"/>
      <c r="B8" s="36"/>
      <c r="C8" s="112"/>
      <c r="D8" s="25"/>
      <c r="E8" s="25" t="s">
        <v>73</v>
      </c>
      <c r="F8" s="25"/>
      <c r="G8" s="25"/>
      <c r="H8" s="215" t="str">
        <f>IF($H$6="date not entered","N/A",IF(Lookup!F3&lt;&gt;1,"ACCEPTABLE",IF('Instrument specs'!G13&lt;$H$6,"NOT ACCEPTABLE","ACCEPTABLE")))</f>
        <v>N/A</v>
      </c>
      <c r="I8" s="25"/>
      <c r="J8" s="137"/>
      <c r="K8" s="37"/>
      <c r="L8" s="143"/>
      <c r="S8" t="e">
        <f t="shared" ref="S8:S25" si="0">FIND("NOT",H8,1)</f>
        <v>#VALUE!</v>
      </c>
      <c r="T8">
        <f>IF(ISERROR(S8),0,1)</f>
        <v>0</v>
      </c>
    </row>
    <row r="9" spans="1:24" ht="13">
      <c r="A9" s="143"/>
      <c r="B9" s="36"/>
      <c r="C9" s="112"/>
      <c r="D9" s="25"/>
      <c r="E9" s="260" t="s">
        <v>268</v>
      </c>
      <c r="F9" s="25"/>
      <c r="G9" s="25"/>
      <c r="H9" s="136" t="str">
        <f>IF($H$6="date not entered","N/A",IF(Lookup!F3=3,"ACCEPTABLE",IF('Load cell and indicator specs'!I8&lt;$H$6,"NOT ACCEPTABLE","ACCEPTABLE")))</f>
        <v>N/A</v>
      </c>
      <c r="I9" s="25"/>
      <c r="J9" s="115"/>
      <c r="K9" s="37"/>
      <c r="L9" s="143"/>
      <c r="O9" s="147">
        <f>IF(H8="ACCEPTABLE",1,0)</f>
        <v>0</v>
      </c>
      <c r="S9" t="e">
        <f t="shared" si="0"/>
        <v>#VALUE!</v>
      </c>
      <c r="T9">
        <f t="shared" ref="T9:T72" si="1">IF(ISERROR(S9),0,1)</f>
        <v>0</v>
      </c>
    </row>
    <row r="10" spans="1:24" ht="13">
      <c r="A10" s="143"/>
      <c r="B10" s="36"/>
      <c r="C10" s="112"/>
      <c r="D10" s="25"/>
      <c r="E10" s="25" t="s">
        <v>74</v>
      </c>
      <c r="F10" s="25"/>
      <c r="G10" s="25"/>
      <c r="H10" s="136" t="str">
        <f>IF($H$6="date not entered","N/A",IF(Lookup!F3=2,"ACCEPTABLE",IF('Load cell and indicator specs'!I27&lt;$H$6,"NOT ACCEPTABLE","ACCEPTABLE")))</f>
        <v>N/A</v>
      </c>
      <c r="I10" s="25"/>
      <c r="J10" s="138"/>
      <c r="K10" s="37"/>
      <c r="L10" s="143"/>
      <c r="O10" s="147">
        <f>IF(H9="ACCEPTABLE",1,0)</f>
        <v>0</v>
      </c>
      <c r="S10" t="e">
        <f t="shared" si="0"/>
        <v>#VALUE!</v>
      </c>
      <c r="T10">
        <f t="shared" si="1"/>
        <v>0</v>
      </c>
    </row>
    <row r="11" spans="1:24" ht="13">
      <c r="A11" s="143"/>
      <c r="B11" s="36"/>
      <c r="C11" s="116"/>
      <c r="D11" s="117"/>
      <c r="E11" s="117"/>
      <c r="F11" s="117"/>
      <c r="G11" s="117"/>
      <c r="H11" s="139"/>
      <c r="I11" s="117"/>
      <c r="J11" s="140"/>
      <c r="K11" s="37"/>
      <c r="L11" s="143"/>
      <c r="O11" s="147">
        <f>IF(H10="ACCEPTABLE",1,0)</f>
        <v>0</v>
      </c>
      <c r="Q11" s="160" t="str">
        <f>IF(SUM(O9:O11)=3,"ACCEPTABLE","NOT ACCEPTABLE")</f>
        <v>NOT ACCEPTABLE</v>
      </c>
      <c r="S11" t="e">
        <f t="shared" si="0"/>
        <v>#VALUE!</v>
      </c>
      <c r="T11">
        <f t="shared" si="1"/>
        <v>0</v>
      </c>
    </row>
    <row r="12" spans="1:24">
      <c r="A12" s="143"/>
      <c r="B12" s="36"/>
      <c r="C12" s="3"/>
      <c r="D12" s="3"/>
      <c r="E12" s="3"/>
      <c r="F12" s="3"/>
      <c r="G12" s="3"/>
      <c r="H12" s="3"/>
      <c r="I12" s="3"/>
      <c r="J12" s="3"/>
      <c r="K12" s="37"/>
      <c r="L12" s="143"/>
      <c r="O12" s="159"/>
      <c r="S12" t="e">
        <f t="shared" si="0"/>
        <v>#VALUE!</v>
      </c>
      <c r="T12">
        <f t="shared" si="1"/>
        <v>0</v>
      </c>
    </row>
    <row r="13" spans="1:24">
      <c r="A13" s="143"/>
      <c r="B13" s="36"/>
      <c r="C13" s="109"/>
      <c r="D13" s="110"/>
      <c r="E13" s="110"/>
      <c r="F13" s="110"/>
      <c r="G13" s="110"/>
      <c r="H13" s="110"/>
      <c r="I13" s="110"/>
      <c r="J13" s="111"/>
      <c r="K13" s="37"/>
      <c r="L13" s="143"/>
      <c r="S13" t="e">
        <f t="shared" si="0"/>
        <v>#VALUE!</v>
      </c>
      <c r="T13">
        <f t="shared" si="1"/>
        <v>0</v>
      </c>
    </row>
    <row r="14" spans="1:24" ht="13">
      <c r="A14" s="143"/>
      <c r="B14" s="36"/>
      <c r="C14" s="112"/>
      <c r="D14" s="25" t="s">
        <v>75</v>
      </c>
      <c r="E14" s="130" t="s">
        <v>76</v>
      </c>
      <c r="F14" s="130"/>
      <c r="G14" s="130"/>
      <c r="H14" s="25"/>
      <c r="I14" s="25"/>
      <c r="J14" s="115"/>
      <c r="K14" s="37"/>
      <c r="L14" s="143"/>
      <c r="S14" t="e">
        <f t="shared" si="0"/>
        <v>#VALUE!</v>
      </c>
      <c r="T14">
        <f t="shared" si="1"/>
        <v>0</v>
      </c>
    </row>
    <row r="15" spans="1:24" ht="13">
      <c r="A15" s="143"/>
      <c r="B15" s="36"/>
      <c r="C15" s="112"/>
      <c r="D15" s="25"/>
      <c r="E15" s="130"/>
      <c r="F15" s="130"/>
      <c r="G15" s="130"/>
      <c r="H15" s="25"/>
      <c r="I15" s="25"/>
      <c r="J15" s="115"/>
      <c r="K15" s="37"/>
      <c r="L15" s="143"/>
      <c r="S15" t="e">
        <f t="shared" si="0"/>
        <v>#VALUE!</v>
      </c>
      <c r="T15">
        <f t="shared" si="1"/>
        <v>0</v>
      </c>
    </row>
    <row r="16" spans="1:24" ht="13">
      <c r="A16" s="143"/>
      <c r="B16" s="36"/>
      <c r="C16" s="112"/>
      <c r="D16" s="25"/>
      <c r="E16" s="25" t="str">
        <f>IF(Lookup!F13=1,"Load cell requires linearisation:","Load cell does not require linearisation:")</f>
        <v>Load cell does not require linearisation:</v>
      </c>
      <c r="F16" s="25"/>
      <c r="G16" s="25"/>
      <c r="H16" s="129" t="str">
        <f>IF('Load cell and indicator specs'!I20="No","ACCEPTABLE",IF(AND('Load cell and indicator specs'!I38&gt;='Load cell and indicator specs'!I21,'Load cell and indicator specs'!I37="Yes"),"ACCEPTABLE","NOT ACCEPTABLE"))</f>
        <v>ACCEPTABLE</v>
      </c>
      <c r="I16" s="25"/>
      <c r="J16" s="115"/>
      <c r="K16" s="37"/>
      <c r="L16" s="143"/>
      <c r="O16" s="147">
        <f>IF(H16="ACCEPTABLE",1,0)</f>
        <v>1</v>
      </c>
      <c r="Q16" s="160" t="str">
        <f>IF(O16=1,"ACCEPTABLE","NOT ACCEPTABLE")</f>
        <v>ACCEPTABLE</v>
      </c>
      <c r="S16" t="e">
        <f t="shared" si="0"/>
        <v>#VALUE!</v>
      </c>
      <c r="T16">
        <f t="shared" si="1"/>
        <v>0</v>
      </c>
    </row>
    <row r="17" spans="1:20">
      <c r="A17" s="143"/>
      <c r="B17" s="36"/>
      <c r="C17" s="116"/>
      <c r="D17" s="117"/>
      <c r="E17" s="117"/>
      <c r="F17" s="117"/>
      <c r="G17" s="117"/>
      <c r="H17" s="117"/>
      <c r="I17" s="117"/>
      <c r="J17" s="118"/>
      <c r="K17" s="37"/>
      <c r="L17" s="143"/>
      <c r="S17" t="e">
        <f t="shared" si="0"/>
        <v>#VALUE!</v>
      </c>
      <c r="T17">
        <f t="shared" si="1"/>
        <v>0</v>
      </c>
    </row>
    <row r="18" spans="1:20">
      <c r="A18" s="143"/>
      <c r="B18" s="36"/>
      <c r="C18" s="3"/>
      <c r="D18" s="3"/>
      <c r="E18" s="3"/>
      <c r="F18" s="3"/>
      <c r="G18" s="3"/>
      <c r="H18" s="3"/>
      <c r="I18" s="3"/>
      <c r="J18" s="3"/>
      <c r="K18" s="37"/>
      <c r="L18" s="143"/>
      <c r="S18" t="e">
        <f t="shared" si="0"/>
        <v>#VALUE!</v>
      </c>
      <c r="T18">
        <f t="shared" si="1"/>
        <v>0</v>
      </c>
    </row>
    <row r="19" spans="1:20">
      <c r="A19" s="143"/>
      <c r="B19" s="36"/>
      <c r="C19" s="109"/>
      <c r="D19" s="110"/>
      <c r="E19" s="110"/>
      <c r="F19" s="110"/>
      <c r="G19" s="110"/>
      <c r="H19" s="110"/>
      <c r="I19" s="110"/>
      <c r="J19" s="111"/>
      <c r="K19" s="37"/>
      <c r="L19" s="143"/>
      <c r="S19" t="e">
        <f t="shared" si="0"/>
        <v>#VALUE!</v>
      </c>
      <c r="T19">
        <f t="shared" si="1"/>
        <v>0</v>
      </c>
    </row>
    <row r="20" spans="1:20" ht="13">
      <c r="A20" s="143"/>
      <c r="B20" s="36"/>
      <c r="C20" s="112"/>
      <c r="D20" s="25" t="s">
        <v>77</v>
      </c>
      <c r="E20" s="130" t="s">
        <v>266</v>
      </c>
      <c r="F20" s="130"/>
      <c r="G20" s="130"/>
      <c r="H20" s="25"/>
      <c r="I20" s="25"/>
      <c r="J20" s="115"/>
      <c r="K20" s="37"/>
      <c r="L20" s="143"/>
      <c r="O20" s="147">
        <f>IF(H22="ACCEPTABLE",1,0)</f>
        <v>1</v>
      </c>
      <c r="Q20" s="160" t="str">
        <f>IF(O20=1,"ACCEPTABLE","NOT ACCEPTABLE")</f>
        <v>ACCEPTABLE</v>
      </c>
      <c r="S20" t="e">
        <f t="shared" si="0"/>
        <v>#VALUE!</v>
      </c>
      <c r="T20">
        <f t="shared" si="1"/>
        <v>0</v>
      </c>
    </row>
    <row r="21" spans="1:20" ht="13">
      <c r="A21" s="143"/>
      <c r="B21" s="36"/>
      <c r="C21" s="112"/>
      <c r="D21" s="25"/>
      <c r="E21" s="25"/>
      <c r="F21" s="25"/>
      <c r="G21" s="25"/>
      <c r="H21" s="25"/>
      <c r="I21" s="25"/>
      <c r="J21" s="115"/>
      <c r="K21" s="37"/>
      <c r="L21" s="143"/>
      <c r="N21" s="96" t="s">
        <v>78</v>
      </c>
      <c r="O21" s="96"/>
      <c r="P21" s="96"/>
      <c r="S21" t="e">
        <f t="shared" si="0"/>
        <v>#VALUE!</v>
      </c>
      <c r="T21">
        <f t="shared" si="1"/>
        <v>0</v>
      </c>
    </row>
    <row r="22" spans="1:20">
      <c r="A22" s="143"/>
      <c r="B22" s="36"/>
      <c r="C22" s="112"/>
      <c r="D22" s="25"/>
      <c r="E22" s="25" t="str">
        <f>IF(Lookup!H9=1,"Singe range:",IF(Lookup!H9=2,"Multiple range:","Mullti-interval:"))</f>
        <v>Singe range:</v>
      </c>
      <c r="F22" s="25"/>
      <c r="G22" s="25"/>
      <c r="H22" s="129" t="str">
        <f>IF(Lookup!H9=1,"ACCEPTABLE",IF(OR(P22=2,P23=2),"ACCEPTABLE","NOT ACCEPTABLE"))</f>
        <v>ACCEPTABLE</v>
      </c>
      <c r="I22" s="190"/>
      <c r="J22" s="115"/>
      <c r="K22" s="37"/>
      <c r="L22" s="143"/>
      <c r="N22" s="1">
        <f>IF(AND(Lookup!H9=2,'Load cell and indicator specs'!I40="Yes"),1,0)</f>
        <v>0</v>
      </c>
      <c r="O22" s="1">
        <f>IF(AND(Lookup!H9=2,'Load cell and indicator specs'!I41&gt;=inst_multi_maxer),1,0)</f>
        <v>0</v>
      </c>
      <c r="P22" s="1">
        <f>SUM(N22,O22)</f>
        <v>0</v>
      </c>
      <c r="S22" t="e">
        <f t="shared" si="0"/>
        <v>#VALUE!</v>
      </c>
      <c r="T22">
        <f t="shared" si="1"/>
        <v>0</v>
      </c>
    </row>
    <row r="23" spans="1:20">
      <c r="A23" s="143"/>
      <c r="B23" s="36"/>
      <c r="C23" s="112"/>
      <c r="D23" s="25"/>
      <c r="E23" s="25"/>
      <c r="F23" s="25"/>
      <c r="G23" s="141" t="str">
        <f>IF(Lookup!H9=1,"",IF(AND(N22=0,N23=0),"*Indicator does not have facility for range/interval type.",IF(AND(O22=0,O23=0),"*Indicator does not have enough ranges / intervals available.","")))</f>
        <v/>
      </c>
      <c r="H23" s="190"/>
      <c r="I23" s="25"/>
      <c r="J23" s="115"/>
      <c r="K23" s="37"/>
      <c r="L23" s="143"/>
      <c r="N23" s="1">
        <f>IF(AND(Lookup!H9=3,'Load cell and indicator specs'!I40="Yes"),1,0)</f>
        <v>0</v>
      </c>
      <c r="O23" s="1">
        <f>IF(AND(Lookup!H9=3,'Load cell and indicator specs'!I41&gt;=inst_multi_maxer),1,0)</f>
        <v>0</v>
      </c>
      <c r="P23" s="1">
        <f>SUM(N23,O23)</f>
        <v>0</v>
      </c>
      <c r="S23" t="e">
        <f t="shared" si="0"/>
        <v>#VALUE!</v>
      </c>
      <c r="T23">
        <f t="shared" si="1"/>
        <v>0</v>
      </c>
    </row>
    <row r="24" spans="1:20">
      <c r="A24" s="143"/>
      <c r="B24" s="36"/>
      <c r="C24" s="116"/>
      <c r="D24" s="117"/>
      <c r="E24" s="117"/>
      <c r="F24" s="117"/>
      <c r="G24" s="117"/>
      <c r="H24" s="117"/>
      <c r="I24" s="117"/>
      <c r="J24" s="118"/>
      <c r="K24" s="37"/>
      <c r="L24" s="143"/>
      <c r="S24" t="e">
        <f t="shared" si="0"/>
        <v>#VALUE!</v>
      </c>
      <c r="T24">
        <f t="shared" si="1"/>
        <v>0</v>
      </c>
    </row>
    <row r="25" spans="1:20">
      <c r="A25" s="143"/>
      <c r="B25" s="36"/>
      <c r="C25" s="3"/>
      <c r="D25" s="3"/>
      <c r="E25" s="3"/>
      <c r="F25" s="3"/>
      <c r="G25" s="3"/>
      <c r="H25" s="3"/>
      <c r="I25" s="3"/>
      <c r="J25" s="3"/>
      <c r="K25" s="37"/>
      <c r="L25" s="143"/>
      <c r="S25" t="e">
        <f t="shared" si="0"/>
        <v>#VALUE!</v>
      </c>
      <c r="T25">
        <f t="shared" si="1"/>
        <v>0</v>
      </c>
    </row>
    <row r="26" spans="1:20" ht="13">
      <c r="A26" s="143"/>
      <c r="B26" s="36"/>
      <c r="C26" s="109"/>
      <c r="D26" s="142">
        <v>6.1</v>
      </c>
      <c r="E26" s="124" t="s">
        <v>79</v>
      </c>
      <c r="F26" s="124"/>
      <c r="G26" s="124"/>
      <c r="H26" s="110"/>
      <c r="I26" s="110"/>
      <c r="J26" s="111"/>
      <c r="K26" s="37"/>
      <c r="L26" s="143"/>
      <c r="S26" t="e">
        <f>FIND("NOT",I26,1)</f>
        <v>#VALUE!</v>
      </c>
      <c r="T26">
        <f t="shared" si="1"/>
        <v>0</v>
      </c>
    </row>
    <row r="27" spans="1:20" ht="12.75" customHeight="1">
      <c r="A27" s="143"/>
      <c r="B27" s="36"/>
      <c r="C27" s="112"/>
      <c r="D27" s="25"/>
      <c r="E27" s="113"/>
      <c r="F27" s="113"/>
      <c r="G27" s="113"/>
      <c r="H27" s="25"/>
      <c r="I27" s="25"/>
      <c r="J27" s="115"/>
      <c r="K27" s="37"/>
      <c r="L27" s="143"/>
      <c r="S27" t="e">
        <f t="shared" ref="S27:S75" si="2">FIND("NOT",I27,1)</f>
        <v>#VALUE!</v>
      </c>
      <c r="T27">
        <f t="shared" si="1"/>
        <v>0</v>
      </c>
    </row>
    <row r="28" spans="1:20" ht="14.25" customHeight="1">
      <c r="A28" s="143"/>
      <c r="B28" s="36"/>
      <c r="C28" s="112"/>
      <c r="D28" s="25"/>
      <c r="E28" s="121" t="str">
        <f>IF(Lookup!H3=1,"Dead load per cell must be &gt;= 1% of load cell max. cap.","Dead load per cell must be &gt; 2 % of load cell max. cap.")</f>
        <v>Dead load per cell must be &gt;= 1% of load cell max. cap.</v>
      </c>
      <c r="F28" s="121"/>
      <c r="G28" s="121"/>
      <c r="H28" s="25"/>
      <c r="I28" s="25"/>
      <c r="J28" s="115"/>
      <c r="K28" s="37"/>
      <c r="L28" s="143"/>
      <c r="S28" t="e">
        <f t="shared" si="2"/>
        <v>#VALUE!</v>
      </c>
      <c r="T28">
        <f t="shared" si="1"/>
        <v>0</v>
      </c>
    </row>
    <row r="29" spans="1:20" ht="14.25" customHeight="1">
      <c r="A29" s="143"/>
      <c r="B29" s="36"/>
      <c r="C29" s="112"/>
      <c r="D29" s="25"/>
      <c r="E29" s="121"/>
      <c r="F29" s="121"/>
      <c r="G29" s="121"/>
      <c r="H29" s="25"/>
      <c r="I29" s="25"/>
      <c r="J29" s="115"/>
      <c r="K29" s="37"/>
      <c r="L29" s="143"/>
      <c r="S29" t="e">
        <f t="shared" si="2"/>
        <v>#VALUE!</v>
      </c>
      <c r="T29">
        <f t="shared" si="1"/>
        <v>0</v>
      </c>
    </row>
    <row r="30" spans="1:20" ht="13">
      <c r="A30" s="143"/>
      <c r="B30" s="36"/>
      <c r="C30" s="112"/>
      <c r="D30" s="25"/>
      <c r="E30" s="125" t="s">
        <v>80</v>
      </c>
      <c r="F30" s="125"/>
      <c r="G30" s="125"/>
      <c r="H30" s="26">
        <f>inst_dl</f>
        <v>0</v>
      </c>
      <c r="I30" s="25" t="s">
        <v>16</v>
      </c>
      <c r="J30" s="115"/>
      <c r="K30" s="37"/>
      <c r="L30" s="143"/>
      <c r="N30" s="101" t="s">
        <v>81</v>
      </c>
      <c r="S30" t="e">
        <f t="shared" si="2"/>
        <v>#VALUE!</v>
      </c>
      <c r="T30">
        <f t="shared" si="1"/>
        <v>0</v>
      </c>
    </row>
    <row r="31" spans="1:20">
      <c r="A31" s="143"/>
      <c r="B31" s="36"/>
      <c r="C31" s="112"/>
      <c r="D31" s="25"/>
      <c r="E31" s="25" t="s">
        <v>82</v>
      </c>
      <c r="F31" s="25"/>
      <c r="G31" s="25"/>
      <c r="H31" s="126" t="e">
        <f>(inst_dl/inst_N)/(cell_max_cap*cell_max_factor)*100</f>
        <v>#DIV/0!</v>
      </c>
      <c r="I31" s="25" t="s">
        <v>83</v>
      </c>
      <c r="J31" s="115"/>
      <c r="K31" s="37"/>
      <c r="L31" s="143"/>
      <c r="N31" s="1">
        <f>IF(Lookup!H3=1,1,2)</f>
        <v>1</v>
      </c>
      <c r="S31" t="e">
        <f t="shared" si="2"/>
        <v>#VALUE!</v>
      </c>
      <c r="T31">
        <f t="shared" si="1"/>
        <v>0</v>
      </c>
    </row>
    <row r="32" spans="1:20">
      <c r="A32" s="143"/>
      <c r="B32" s="36"/>
      <c r="C32" s="112"/>
      <c r="D32" s="25"/>
      <c r="E32" s="25" t="s">
        <v>84</v>
      </c>
      <c r="F32" s="25"/>
      <c r="G32" s="25"/>
      <c r="H32" s="26">
        <f>inst_N*('6B0 Analysis'!N31/100)*cell_max_cap*cell_max_factor</f>
        <v>0</v>
      </c>
      <c r="I32" s="25" t="s">
        <v>16</v>
      </c>
      <c r="J32" s="115"/>
      <c r="K32" s="37"/>
      <c r="L32" s="143"/>
      <c r="S32" t="e">
        <f t="shared" si="2"/>
        <v>#VALUE!</v>
      </c>
      <c r="T32">
        <f t="shared" si="1"/>
        <v>0</v>
      </c>
    </row>
    <row r="33" spans="1:20">
      <c r="A33" s="143"/>
      <c r="B33" s="36"/>
      <c r="C33" s="112"/>
      <c r="D33" s="25"/>
      <c r="E33" s="25"/>
      <c r="F33" s="25"/>
      <c r="G33" s="25"/>
      <c r="H33" s="25"/>
      <c r="I33" s="26"/>
      <c r="J33" s="115"/>
      <c r="K33" s="37"/>
      <c r="L33" s="143"/>
      <c r="S33" t="e">
        <f t="shared" si="2"/>
        <v>#VALUE!</v>
      </c>
      <c r="T33">
        <f t="shared" si="1"/>
        <v>0</v>
      </c>
    </row>
    <row r="34" spans="1:20" ht="13">
      <c r="A34" s="143"/>
      <c r="B34" s="36"/>
      <c r="C34" s="116"/>
      <c r="D34" s="117"/>
      <c r="E34" s="117" t="s">
        <v>85</v>
      </c>
      <c r="F34" s="117"/>
      <c r="G34" s="117"/>
      <c r="H34" s="117"/>
      <c r="I34" s="127" t="e">
        <f>IF(H31&gt;=N31,"ACCEPTABLE","NOT ACCEPTABLE")</f>
        <v>#DIV/0!</v>
      </c>
      <c r="J34" s="128"/>
      <c r="K34" s="37"/>
      <c r="L34" s="143"/>
      <c r="O34" s="147" t="e">
        <f>IF(I34="ACCEPTABLE",1,0)</f>
        <v>#DIV/0!</v>
      </c>
      <c r="Q34" s="160" t="e">
        <f>IF(O34=1,"ACCEPTABLE","NOT ACCEPTABLE")</f>
        <v>#DIV/0!</v>
      </c>
      <c r="S34" t="e">
        <f t="shared" si="2"/>
        <v>#DIV/0!</v>
      </c>
      <c r="T34">
        <f t="shared" si="1"/>
        <v>0</v>
      </c>
    </row>
    <row r="35" spans="1:20">
      <c r="A35" s="143"/>
      <c r="B35" s="36"/>
      <c r="C35" s="3"/>
      <c r="D35" s="3"/>
      <c r="E35" s="3"/>
      <c r="F35" s="3"/>
      <c r="G35" s="3"/>
      <c r="H35" s="3"/>
      <c r="I35" s="3"/>
      <c r="J35" s="3"/>
      <c r="K35" s="37"/>
      <c r="L35" s="143"/>
      <c r="S35" t="e">
        <f t="shared" si="2"/>
        <v>#VALUE!</v>
      </c>
      <c r="T35">
        <f t="shared" si="1"/>
        <v>0</v>
      </c>
    </row>
    <row r="36" spans="1:20" ht="13">
      <c r="A36" s="143"/>
      <c r="B36" s="36"/>
      <c r="C36" s="109"/>
      <c r="D36" s="142">
        <v>6.2</v>
      </c>
      <c r="E36" s="119" t="s">
        <v>265</v>
      </c>
      <c r="F36" s="119"/>
      <c r="G36" s="119"/>
      <c r="H36" s="110"/>
      <c r="I36" s="110"/>
      <c r="J36" s="111"/>
      <c r="K36" s="37"/>
      <c r="L36" s="143"/>
      <c r="S36" t="e">
        <f t="shared" si="2"/>
        <v>#VALUE!</v>
      </c>
      <c r="T36">
        <f t="shared" si="1"/>
        <v>0</v>
      </c>
    </row>
    <row r="37" spans="1:20">
      <c r="A37" s="143"/>
      <c r="B37" s="36"/>
      <c r="C37" s="112"/>
      <c r="D37" s="25"/>
      <c r="E37" s="25"/>
      <c r="F37" s="25"/>
      <c r="G37" s="25"/>
      <c r="H37" s="25"/>
      <c r="I37" s="25"/>
      <c r="J37" s="115"/>
      <c r="K37" s="37"/>
      <c r="L37" s="143"/>
      <c r="S37" t="e">
        <f t="shared" si="2"/>
        <v>#VALUE!</v>
      </c>
      <c r="T37">
        <f t="shared" si="1"/>
        <v>0</v>
      </c>
    </row>
    <row r="38" spans="1:20" ht="13">
      <c r="A38" s="143"/>
      <c r="B38" s="36"/>
      <c r="C38" s="112"/>
      <c r="D38" s="25"/>
      <c r="E38" s="114" t="s">
        <v>86</v>
      </c>
      <c r="F38" s="114"/>
      <c r="G38" s="114"/>
      <c r="H38" s="25"/>
      <c r="I38" s="120" t="str">
        <f>IF(inst_N&lt;=5,"Does not apply.",IF(Lookup!H3=2,"Does not apply",""))</f>
        <v>Does not apply.</v>
      </c>
      <c r="J38" s="115"/>
      <c r="K38" s="37"/>
      <c r="L38" s="143"/>
      <c r="S38" t="e">
        <f t="shared" si="2"/>
        <v>#VALUE!</v>
      </c>
      <c r="T38">
        <f t="shared" si="1"/>
        <v>0</v>
      </c>
    </row>
    <row r="39" spans="1:20">
      <c r="A39" s="143"/>
      <c r="B39" s="36"/>
      <c r="C39" s="112"/>
      <c r="D39" s="25"/>
      <c r="E39" s="25"/>
      <c r="F39" s="25"/>
      <c r="G39" s="25"/>
      <c r="H39" s="25"/>
      <c r="I39" s="25"/>
      <c r="J39" s="115"/>
      <c r="K39" s="37"/>
      <c r="L39" s="143"/>
      <c r="S39" t="e">
        <f t="shared" si="2"/>
        <v>#VALUE!</v>
      </c>
      <c r="T39">
        <f t="shared" si="1"/>
        <v>0</v>
      </c>
    </row>
    <row r="40" spans="1:20" ht="13">
      <c r="A40" s="143"/>
      <c r="B40" s="36"/>
      <c r="C40" s="112"/>
      <c r="D40" s="25"/>
      <c r="E40" s="121" t="s">
        <v>184</v>
      </c>
      <c r="F40" s="121"/>
      <c r="G40" s="121"/>
      <c r="H40" s="25"/>
      <c r="I40" s="25"/>
      <c r="J40" s="115"/>
      <c r="K40" s="37"/>
      <c r="L40" s="143"/>
      <c r="N40" s="81" t="s">
        <v>87</v>
      </c>
      <c r="S40" t="e">
        <f t="shared" si="2"/>
        <v>#VALUE!</v>
      </c>
      <c r="T40">
        <f t="shared" si="1"/>
        <v>0</v>
      </c>
    </row>
    <row r="41" spans="1:20" ht="13">
      <c r="A41" s="143"/>
      <c r="B41" s="36"/>
      <c r="C41" s="112"/>
      <c r="D41" s="25"/>
      <c r="E41" s="25"/>
      <c r="F41" s="25"/>
      <c r="G41" s="25"/>
      <c r="H41" s="25"/>
      <c r="I41" s="25"/>
      <c r="J41" s="115"/>
      <c r="K41" s="37"/>
      <c r="L41" s="143"/>
      <c r="N41" s="81">
        <f>(cell_max_cap*cell_max_factor*(inst_N-2)*inst_hj)-inst_max_used</f>
        <v>0</v>
      </c>
      <c r="S41" t="e">
        <f t="shared" si="2"/>
        <v>#VALUE!</v>
      </c>
      <c r="T41">
        <f t="shared" si="1"/>
        <v>0</v>
      </c>
    </row>
    <row r="42" spans="1:20" ht="13">
      <c r="A42" s="143"/>
      <c r="B42" s="36"/>
      <c r="C42" s="112"/>
      <c r="D42" s="25"/>
      <c r="E42" s="25" t="s">
        <v>88</v>
      </c>
      <c r="F42" s="25"/>
      <c r="G42" s="25"/>
      <c r="H42" s="25"/>
      <c r="I42" s="122" t="str">
        <f>IF(I38="Does not apply.","N/A",IF(cell_max_cap*cell_max_factor&gt;=(inst_max_used+inst_dl)/((inst_N-2)*inst_hj),"ACCEPTABLE","NOT ACCEPTABLE"))</f>
        <v>N/A</v>
      </c>
      <c r="J42" s="115"/>
      <c r="K42" s="37"/>
      <c r="L42" s="143"/>
      <c r="N42" s="81"/>
      <c r="O42" s="147">
        <f>IF(I42="ACCEPTABLE",1,0)</f>
        <v>0</v>
      </c>
      <c r="P42" s="96" t="s">
        <v>89</v>
      </c>
      <c r="Q42" s="95"/>
      <c r="S42" t="e">
        <f t="shared" si="2"/>
        <v>#VALUE!</v>
      </c>
      <c r="T42">
        <f t="shared" si="1"/>
        <v>0</v>
      </c>
    </row>
    <row r="43" spans="1:20" ht="13">
      <c r="A43" s="143"/>
      <c r="B43" s="36"/>
      <c r="C43" s="112"/>
      <c r="D43" s="25"/>
      <c r="E43" s="25"/>
      <c r="F43" s="25"/>
      <c r="G43" s="25"/>
      <c r="H43" s="25"/>
      <c r="I43" s="25"/>
      <c r="J43" s="115"/>
      <c r="K43" s="37"/>
      <c r="L43" s="143"/>
      <c r="N43" s="81"/>
      <c r="P43" s="106" t="b">
        <f>IF(inst_multi_maxer=1,inst_multi_max_1,IF(inst_multi_maxer=2,inst_multi_max_2,IF(inst_multi_maxer=3,inst_multi_max_3,IF(inst_multi_maxer=4,inst_multi_max_4))))</f>
        <v>0</v>
      </c>
      <c r="Q43" s="81"/>
      <c r="S43" t="e">
        <f t="shared" si="2"/>
        <v>#VALUE!</v>
      </c>
      <c r="T43">
        <f t="shared" si="1"/>
        <v>0</v>
      </c>
    </row>
    <row r="44" spans="1:20" ht="13">
      <c r="A44" s="143"/>
      <c r="B44" s="36"/>
      <c r="C44" s="112"/>
      <c r="D44" s="25"/>
      <c r="E44" s="114" t="s">
        <v>90</v>
      </c>
      <c r="F44" s="114"/>
      <c r="G44" s="114"/>
      <c r="H44" s="25"/>
      <c r="I44" s="120" t="str">
        <f>IF(AND(inst_N&lt;=5,Lookup!H3=1),"","Does not apply.")</f>
        <v/>
      </c>
      <c r="J44" s="115"/>
      <c r="K44" s="37"/>
      <c r="L44" s="143"/>
      <c r="N44" s="81"/>
      <c r="P44" s="96" t="s">
        <v>91</v>
      </c>
      <c r="Q44" s="96"/>
      <c r="S44" t="e">
        <f t="shared" si="2"/>
        <v>#VALUE!</v>
      </c>
      <c r="T44">
        <f t="shared" si="1"/>
        <v>0</v>
      </c>
    </row>
    <row r="45" spans="1:20" ht="13">
      <c r="A45" s="143"/>
      <c r="B45" s="36"/>
      <c r="C45" s="112"/>
      <c r="D45" s="25"/>
      <c r="E45" s="25"/>
      <c r="F45" s="25"/>
      <c r="G45" s="25"/>
      <c r="H45" s="25"/>
      <c r="I45" s="120"/>
      <c r="J45" s="115"/>
      <c r="K45" s="37"/>
      <c r="L45" s="143"/>
      <c r="N45" s="81"/>
      <c r="P45">
        <f>IF(Lookup!H9=1,inst_sing_max*inst_sing_max_factor,'6B0 Analysis'!P43*inst_multi_max_factor)</f>
        <v>0</v>
      </c>
      <c r="Q45" s="96"/>
      <c r="R45" t="s">
        <v>92</v>
      </c>
      <c r="S45" t="e">
        <f t="shared" si="2"/>
        <v>#VALUE!</v>
      </c>
      <c r="T45">
        <f t="shared" si="1"/>
        <v>0</v>
      </c>
    </row>
    <row r="46" spans="1:20" ht="13">
      <c r="A46" s="143"/>
      <c r="B46" s="36"/>
      <c r="C46" s="112"/>
      <c r="D46" s="25"/>
      <c r="E46" s="121" t="s">
        <v>185</v>
      </c>
      <c r="F46" s="121"/>
      <c r="G46" s="121"/>
      <c r="H46" s="25"/>
      <c r="I46" s="120"/>
      <c r="J46" s="115"/>
      <c r="K46" s="37"/>
      <c r="L46" s="143"/>
      <c r="N46" s="81" t="s">
        <v>93</v>
      </c>
      <c r="P46" s="96"/>
      <c r="Q46" s="96"/>
      <c r="S46" t="e">
        <f t="shared" si="2"/>
        <v>#VALUE!</v>
      </c>
      <c r="T46">
        <f t="shared" si="1"/>
        <v>0</v>
      </c>
    </row>
    <row r="47" spans="1:20" ht="13">
      <c r="A47" s="143"/>
      <c r="B47" s="36"/>
      <c r="C47" s="112"/>
      <c r="D47" s="25"/>
      <c r="E47" s="121"/>
      <c r="F47" s="121"/>
      <c r="G47" s="121"/>
      <c r="H47" s="25"/>
      <c r="I47" s="25"/>
      <c r="J47" s="115"/>
      <c r="K47" s="37"/>
      <c r="L47" s="143"/>
      <c r="N47" s="81">
        <f>cell_max_cap*cell_max_factor*inst_N-inst_max_used</f>
        <v>0</v>
      </c>
      <c r="S47" t="e">
        <f t="shared" si="2"/>
        <v>#VALUE!</v>
      </c>
      <c r="T47">
        <f t="shared" si="1"/>
        <v>0</v>
      </c>
    </row>
    <row r="48" spans="1:20" ht="13">
      <c r="A48" s="143"/>
      <c r="B48" s="36"/>
      <c r="C48" s="112"/>
      <c r="D48" s="25"/>
      <c r="E48" s="25" t="s">
        <v>88</v>
      </c>
      <c r="F48" s="25"/>
      <c r="G48" s="25"/>
      <c r="H48" s="25"/>
      <c r="I48" s="122" t="e">
        <f>IF(I44="Does not apply.","N/A",IF(cell_max_cap*cell_max_factor&gt;=(inst_max_used+inst_dl)/inst_N,"ACCEPTABLE","NOT ACCEPTABLE"))</f>
        <v>#DIV/0!</v>
      </c>
      <c r="J48" s="115"/>
      <c r="K48" s="37"/>
      <c r="L48" s="143"/>
      <c r="N48" s="81"/>
      <c r="O48" s="147" t="e">
        <f>IF(I48="ACCEPTABLE",1,0)</f>
        <v>#DIV/0!</v>
      </c>
      <c r="S48" t="e">
        <f t="shared" si="2"/>
        <v>#DIV/0!</v>
      </c>
      <c r="T48">
        <f t="shared" si="1"/>
        <v>0</v>
      </c>
    </row>
    <row r="49" spans="1:20" ht="13">
      <c r="A49" s="143"/>
      <c r="B49" s="36"/>
      <c r="C49" s="112"/>
      <c r="D49" s="25"/>
      <c r="E49" s="25"/>
      <c r="F49" s="25"/>
      <c r="G49" s="25"/>
      <c r="H49" s="25"/>
      <c r="I49" s="25"/>
      <c r="J49" s="115"/>
      <c r="K49" s="37"/>
      <c r="L49" s="143"/>
      <c r="N49" s="81"/>
      <c r="S49" t="e">
        <f t="shared" si="2"/>
        <v>#VALUE!</v>
      </c>
      <c r="T49">
        <f t="shared" si="1"/>
        <v>0</v>
      </c>
    </row>
    <row r="50" spans="1:20" ht="13">
      <c r="A50" s="143"/>
      <c r="B50" s="36"/>
      <c r="C50" s="112"/>
      <c r="D50" s="25"/>
      <c r="E50" s="114" t="s">
        <v>94</v>
      </c>
      <c r="F50" s="114"/>
      <c r="G50" s="114"/>
      <c r="H50" s="25"/>
      <c r="I50" s="123" t="str">
        <f>IF(Lookup!H3=1,"Does not apply.",IF(inst_N&gt;1,"Does not apply.",""))</f>
        <v>Does not apply.</v>
      </c>
      <c r="J50" s="115"/>
      <c r="K50" s="37"/>
      <c r="L50" s="143"/>
      <c r="N50" s="81"/>
      <c r="S50" t="e">
        <f t="shared" si="2"/>
        <v>#VALUE!</v>
      </c>
      <c r="T50">
        <f t="shared" si="1"/>
        <v>0</v>
      </c>
    </row>
    <row r="51" spans="1:20" ht="13">
      <c r="A51" s="143"/>
      <c r="B51" s="36"/>
      <c r="C51" s="112"/>
      <c r="D51" s="25"/>
      <c r="E51" s="25"/>
      <c r="F51" s="25"/>
      <c r="G51" s="25"/>
      <c r="H51" s="25"/>
      <c r="I51" s="123"/>
      <c r="J51" s="115"/>
      <c r="K51" s="37"/>
      <c r="L51" s="143"/>
      <c r="N51" s="81" t="s">
        <v>95</v>
      </c>
      <c r="S51" t="e">
        <f t="shared" si="2"/>
        <v>#VALUE!</v>
      </c>
      <c r="T51">
        <f t="shared" si="1"/>
        <v>0</v>
      </c>
    </row>
    <row r="52" spans="1:20" ht="13">
      <c r="A52" s="143"/>
      <c r="B52" s="36"/>
      <c r="C52" s="112"/>
      <c r="D52" s="25"/>
      <c r="E52" s="121" t="s">
        <v>186</v>
      </c>
      <c r="F52" s="121"/>
      <c r="G52" s="121"/>
      <c r="H52" s="25"/>
      <c r="I52" s="123"/>
      <c r="J52" s="115"/>
      <c r="K52" s="37"/>
      <c r="L52" s="143"/>
      <c r="N52" s="81" t="e">
        <f>cell_max_cap*cell_max_factor-(inst_max_used/inst_R)</f>
        <v>#DIV/0!</v>
      </c>
      <c r="S52" t="e">
        <f t="shared" si="2"/>
        <v>#VALUE!</v>
      </c>
      <c r="T52">
        <f t="shared" si="1"/>
        <v>0</v>
      </c>
    </row>
    <row r="53" spans="1:20" ht="13">
      <c r="A53" s="143"/>
      <c r="B53" s="36"/>
      <c r="C53" s="112"/>
      <c r="D53" s="25"/>
      <c r="E53" s="25"/>
      <c r="F53" s="25"/>
      <c r="G53" s="25"/>
      <c r="H53" s="25"/>
      <c r="I53" s="123"/>
      <c r="J53" s="115"/>
      <c r="K53" s="37"/>
      <c r="L53" s="143"/>
      <c r="S53" t="e">
        <f t="shared" si="2"/>
        <v>#VALUE!</v>
      </c>
      <c r="T53">
        <f t="shared" si="1"/>
        <v>0</v>
      </c>
    </row>
    <row r="54" spans="1:20" ht="13">
      <c r="A54" s="143"/>
      <c r="B54" s="36"/>
      <c r="C54" s="112"/>
      <c r="D54" s="25"/>
      <c r="E54" s="25" t="s">
        <v>88</v>
      </c>
      <c r="F54" s="25"/>
      <c r="G54" s="25"/>
      <c r="H54" s="25"/>
      <c r="I54" s="122" t="str">
        <f>IF(I50="Does not apply.","N/A",IF(cell_max_cap*cell_max_factor&gt;=(inst_max_used)/inst_R+inst_dl,"ACCEPTABLE","NOT ACCEPTABLE"))</f>
        <v>N/A</v>
      </c>
      <c r="J54" s="115"/>
      <c r="K54" s="37"/>
      <c r="L54" s="143"/>
      <c r="O54" s="147">
        <f>IF(I54="ACCEPTABLE",1,0)</f>
        <v>0</v>
      </c>
      <c r="Q54" s="160" t="e">
        <f>IF(SUM(O42,O48,O54)=1,"ACCEPTABLE","NOT ACCEPTABLE")</f>
        <v>#DIV/0!</v>
      </c>
      <c r="S54" t="e">
        <f t="shared" si="2"/>
        <v>#VALUE!</v>
      </c>
      <c r="T54">
        <f t="shared" si="1"/>
        <v>0</v>
      </c>
    </row>
    <row r="55" spans="1:20">
      <c r="A55" s="143"/>
      <c r="B55" s="36"/>
      <c r="C55" s="116"/>
      <c r="D55" s="117"/>
      <c r="E55" s="117"/>
      <c r="F55" s="117"/>
      <c r="G55" s="117"/>
      <c r="H55" s="117"/>
      <c r="I55" s="117"/>
      <c r="J55" s="118"/>
      <c r="K55" s="37"/>
      <c r="L55" s="143"/>
      <c r="O55" s="159"/>
      <c r="S55" t="e">
        <f t="shared" si="2"/>
        <v>#VALUE!</v>
      </c>
      <c r="T55">
        <f t="shared" si="1"/>
        <v>0</v>
      </c>
    </row>
    <row r="56" spans="1:20">
      <c r="A56" s="143"/>
      <c r="B56" s="36"/>
      <c r="C56" s="107"/>
      <c r="D56" s="3"/>
      <c r="E56" s="3"/>
      <c r="F56" s="3"/>
      <c r="G56" s="3"/>
      <c r="H56" s="3"/>
      <c r="I56" s="3"/>
      <c r="J56" s="3"/>
      <c r="K56" s="37"/>
      <c r="L56" s="143"/>
      <c r="S56" t="e">
        <f t="shared" si="2"/>
        <v>#VALUE!</v>
      </c>
      <c r="T56">
        <f t="shared" si="1"/>
        <v>0</v>
      </c>
    </row>
    <row r="57" spans="1:20">
      <c r="A57" s="143"/>
      <c r="B57" s="36"/>
      <c r="C57" s="112"/>
      <c r="D57" s="110"/>
      <c r="E57" s="110"/>
      <c r="F57" s="110"/>
      <c r="G57" s="110"/>
      <c r="H57" s="110"/>
      <c r="I57" s="110"/>
      <c r="J57" s="111"/>
      <c r="K57" s="37"/>
      <c r="L57" s="143"/>
      <c r="S57" t="e">
        <f t="shared" si="2"/>
        <v>#VALUE!</v>
      </c>
      <c r="T57">
        <f t="shared" si="1"/>
        <v>0</v>
      </c>
    </row>
    <row r="58" spans="1:20">
      <c r="A58" s="143"/>
      <c r="B58" s="36"/>
      <c r="C58" s="112"/>
      <c r="D58" s="25"/>
      <c r="E58" s="114" t="s">
        <v>96</v>
      </c>
      <c r="F58" s="114"/>
      <c r="G58" s="114"/>
      <c r="H58" s="25"/>
      <c r="I58" s="25"/>
      <c r="J58" s="115"/>
      <c r="K58" s="37"/>
      <c r="L58" s="143"/>
      <c r="S58" t="e">
        <f t="shared" si="2"/>
        <v>#VALUE!</v>
      </c>
      <c r="T58">
        <f t="shared" si="1"/>
        <v>0</v>
      </c>
    </row>
    <row r="59" spans="1:20">
      <c r="A59" s="143"/>
      <c r="B59" s="36"/>
      <c r="C59" s="112"/>
      <c r="D59" s="25"/>
      <c r="E59" s="25" t="s">
        <v>97</v>
      </c>
      <c r="F59" s="25"/>
      <c r="G59" s="188">
        <f>IF(Lookup!$F$15=1,H32,"N/A")</f>
        <v>0</v>
      </c>
      <c r="H59" s="25" t="s">
        <v>16</v>
      </c>
      <c r="I59" s="25"/>
      <c r="J59" s="115"/>
      <c r="K59" s="37"/>
      <c r="L59" s="143"/>
      <c r="S59" t="e">
        <f t="shared" si="2"/>
        <v>#VALUE!</v>
      </c>
      <c r="T59">
        <f t="shared" si="1"/>
        <v>0</v>
      </c>
    </row>
    <row r="60" spans="1:20">
      <c r="A60" s="143"/>
      <c r="B60" s="36"/>
      <c r="C60" s="112"/>
      <c r="D60" s="25"/>
      <c r="E60" s="25" t="s">
        <v>98</v>
      </c>
      <c r="F60" s="25"/>
      <c r="G60" s="188" t="e">
        <f>IF(Lookup!$F$15=1,IF(AND(I42="N/A",I48="N/A"),N52,IF(AND(I48="N/A",I54="N/A"),N41,N47)),"N/A")</f>
        <v>#DIV/0!</v>
      </c>
      <c r="H60" s="25" t="s">
        <v>16</v>
      </c>
      <c r="I60" s="25"/>
      <c r="J60" s="115"/>
      <c r="K60" s="37"/>
      <c r="L60" s="143"/>
      <c r="S60" t="e">
        <f t="shared" si="2"/>
        <v>#VALUE!</v>
      </c>
      <c r="T60">
        <f t="shared" si="1"/>
        <v>0</v>
      </c>
    </row>
    <row r="61" spans="1:20">
      <c r="A61" s="143"/>
      <c r="B61" s="36"/>
      <c r="C61" s="116"/>
      <c r="D61" s="117"/>
      <c r="E61" s="117"/>
      <c r="F61" s="117"/>
      <c r="G61" s="117"/>
      <c r="H61" s="117"/>
      <c r="I61" s="117"/>
      <c r="J61" s="118"/>
      <c r="K61" s="37"/>
      <c r="L61" s="143"/>
      <c r="S61" t="e">
        <f t="shared" si="2"/>
        <v>#VALUE!</v>
      </c>
      <c r="T61">
        <f t="shared" si="1"/>
        <v>0</v>
      </c>
    </row>
    <row r="62" spans="1:20">
      <c r="A62" s="143"/>
      <c r="B62" s="36"/>
      <c r="C62" s="3"/>
      <c r="D62" s="3"/>
      <c r="E62" s="3"/>
      <c r="F62" s="3"/>
      <c r="G62" s="3"/>
      <c r="H62" s="3"/>
      <c r="I62" s="3"/>
      <c r="J62" s="3"/>
      <c r="K62" s="37"/>
      <c r="L62" s="143"/>
      <c r="S62" t="e">
        <f t="shared" si="2"/>
        <v>#VALUE!</v>
      </c>
      <c r="T62">
        <f t="shared" si="1"/>
        <v>0</v>
      </c>
    </row>
    <row r="63" spans="1:20">
      <c r="A63" s="143"/>
      <c r="B63" s="36"/>
      <c r="C63" s="109"/>
      <c r="D63" s="110"/>
      <c r="E63" s="110"/>
      <c r="F63" s="110"/>
      <c r="G63" s="110"/>
      <c r="H63" s="110"/>
      <c r="I63" s="110"/>
      <c r="J63" s="111"/>
      <c r="K63" s="37"/>
      <c r="L63" s="143"/>
      <c r="S63" t="e">
        <f t="shared" si="2"/>
        <v>#VALUE!</v>
      </c>
      <c r="T63">
        <f t="shared" si="1"/>
        <v>0</v>
      </c>
    </row>
    <row r="64" spans="1:20" ht="13">
      <c r="A64" s="143"/>
      <c r="B64" s="36"/>
      <c r="C64" s="112"/>
      <c r="D64" s="131">
        <v>6.3</v>
      </c>
      <c r="E64" s="130" t="s">
        <v>99</v>
      </c>
      <c r="F64" s="130"/>
      <c r="G64" s="130"/>
      <c r="H64" s="25"/>
      <c r="I64" s="25"/>
      <c r="J64" s="115"/>
      <c r="K64" s="37"/>
      <c r="L64" s="143"/>
      <c r="S64" t="e">
        <f t="shared" si="2"/>
        <v>#VALUE!</v>
      </c>
      <c r="T64">
        <f t="shared" si="1"/>
        <v>0</v>
      </c>
    </row>
    <row r="65" spans="1:20">
      <c r="A65" s="143"/>
      <c r="B65" s="36"/>
      <c r="C65" s="112"/>
      <c r="D65" s="25"/>
      <c r="E65" s="25"/>
      <c r="F65" s="25"/>
      <c r="G65" s="25"/>
      <c r="H65" s="25"/>
      <c r="I65" s="25"/>
      <c r="J65" s="115"/>
      <c r="K65" s="37"/>
      <c r="L65" s="143"/>
      <c r="S65" t="e">
        <f t="shared" si="2"/>
        <v>#VALUE!</v>
      </c>
      <c r="T65">
        <f t="shared" si="1"/>
        <v>0</v>
      </c>
    </row>
    <row r="66" spans="1:20" ht="13">
      <c r="A66" s="143"/>
      <c r="B66" s="36"/>
      <c r="C66" s="112"/>
      <c r="D66" s="25" t="s">
        <v>100</v>
      </c>
      <c r="E66" s="114" t="s">
        <v>101</v>
      </c>
      <c r="F66" s="120" t="str">
        <f>IF(Lookup!H9=1,"","Does not apply.")</f>
        <v/>
      </c>
      <c r="G66" s="114"/>
      <c r="H66" s="25"/>
      <c r="I66" s="25"/>
      <c r="J66" s="115"/>
      <c r="K66" s="37"/>
      <c r="L66" s="143"/>
      <c r="S66" t="e">
        <f t="shared" si="2"/>
        <v>#VALUE!</v>
      </c>
      <c r="T66">
        <f t="shared" si="1"/>
        <v>0</v>
      </c>
    </row>
    <row r="67" spans="1:20">
      <c r="A67" s="143"/>
      <c r="B67" s="36"/>
      <c r="C67" s="112"/>
      <c r="D67" s="25"/>
      <c r="E67" s="25"/>
      <c r="F67" s="25"/>
      <c r="G67" s="25"/>
      <c r="H67" s="25"/>
      <c r="I67" s="25"/>
      <c r="J67" s="115"/>
      <c r="K67" s="37"/>
      <c r="L67" s="143"/>
      <c r="P67" s="108">
        <f>IF(inst_sing_no_e&lt;=cell_max_e,0,1)</f>
        <v>0</v>
      </c>
      <c r="S67" t="e">
        <f t="shared" si="2"/>
        <v>#VALUE!</v>
      </c>
      <c r="T67">
        <f t="shared" si="1"/>
        <v>0</v>
      </c>
    </row>
    <row r="68" spans="1:20">
      <c r="A68" s="143"/>
      <c r="B68" s="36"/>
      <c r="C68" s="112"/>
      <c r="D68" s="25"/>
      <c r="E68" s="25" t="s">
        <v>102</v>
      </c>
      <c r="F68" s="131" t="str">
        <f>inst_sing_no_e</f>
        <v/>
      </c>
      <c r="G68" s="25"/>
      <c r="H68" s="25"/>
      <c r="I68" s="25"/>
      <c r="J68" s="115"/>
      <c r="K68" s="37"/>
      <c r="L68" s="143"/>
      <c r="P68" s="108">
        <f>IF(inst_sing_no_e&lt;=ind_max_e,0,1)</f>
        <v>0</v>
      </c>
      <c r="S68" t="e">
        <f t="shared" si="2"/>
        <v>#VALUE!</v>
      </c>
      <c r="T68">
        <f t="shared" si="1"/>
        <v>0</v>
      </c>
    </row>
    <row r="69" spans="1:20">
      <c r="A69" s="143"/>
      <c r="B69" s="36"/>
      <c r="C69" s="112"/>
      <c r="D69" s="25"/>
      <c r="E69" s="25" t="s">
        <v>103</v>
      </c>
      <c r="F69" s="131">
        <f>cell_max_e</f>
        <v>0</v>
      </c>
      <c r="G69" s="25"/>
      <c r="H69" s="25"/>
      <c r="I69" s="25"/>
      <c r="J69" s="115"/>
      <c r="K69" s="37"/>
      <c r="L69" s="143"/>
      <c r="P69" s="108"/>
      <c r="S69" t="e">
        <f t="shared" si="2"/>
        <v>#VALUE!</v>
      </c>
      <c r="T69">
        <f t="shared" si="1"/>
        <v>0</v>
      </c>
    </row>
    <row r="70" spans="1:20">
      <c r="A70" s="143"/>
      <c r="B70" s="36"/>
      <c r="C70" s="112"/>
      <c r="D70" s="25"/>
      <c r="E70" s="25" t="s">
        <v>104</v>
      </c>
      <c r="F70" s="131">
        <f>ind_max_e</f>
        <v>0</v>
      </c>
      <c r="G70" s="25"/>
      <c r="H70" s="25"/>
      <c r="I70" s="25"/>
      <c r="J70" s="115"/>
      <c r="K70" s="37"/>
      <c r="L70" s="143"/>
      <c r="P70" s="108">
        <f>SUM(P67:P68)</f>
        <v>0</v>
      </c>
      <c r="S70" t="e">
        <f t="shared" si="2"/>
        <v>#VALUE!</v>
      </c>
      <c r="T70">
        <f t="shared" si="1"/>
        <v>0</v>
      </c>
    </row>
    <row r="71" spans="1:20">
      <c r="A71" s="143"/>
      <c r="B71" s="36"/>
      <c r="C71" s="112"/>
      <c r="D71" s="25"/>
      <c r="E71" s="25"/>
      <c r="F71" s="131"/>
      <c r="G71" s="25"/>
      <c r="H71" s="25"/>
      <c r="I71" s="25"/>
      <c r="J71" s="115"/>
      <c r="K71" s="37"/>
      <c r="L71" s="143"/>
      <c r="P71" s="108"/>
      <c r="S71" t="e">
        <f t="shared" si="2"/>
        <v>#VALUE!</v>
      </c>
      <c r="T71">
        <f t="shared" si="1"/>
        <v>0</v>
      </c>
    </row>
    <row r="72" spans="1:20" ht="13">
      <c r="A72" s="143"/>
      <c r="B72" s="36"/>
      <c r="C72" s="112"/>
      <c r="D72" s="25"/>
      <c r="E72" s="25" t="s">
        <v>105</v>
      </c>
      <c r="F72" s="131"/>
      <c r="G72" s="25"/>
      <c r="H72" s="25"/>
      <c r="I72" s="129" t="str">
        <f>IF(Lookup!H9=1,IF(P70=0,"Yes","No"),"N/A")</f>
        <v>Yes</v>
      </c>
      <c r="J72" s="115"/>
      <c r="K72" s="37"/>
      <c r="L72" s="143"/>
      <c r="O72" s="147">
        <f>IF(I72="Yes",1,0)</f>
        <v>1</v>
      </c>
      <c r="P72" s="108"/>
      <c r="S72" t="e">
        <f t="shared" si="2"/>
        <v>#VALUE!</v>
      </c>
      <c r="T72">
        <f t="shared" si="1"/>
        <v>0</v>
      </c>
    </row>
    <row r="73" spans="1:20">
      <c r="A73" s="143"/>
      <c r="B73" s="36"/>
      <c r="C73" s="112"/>
      <c r="D73" s="25"/>
      <c r="E73" s="25"/>
      <c r="F73" s="131"/>
      <c r="G73" s="25"/>
      <c r="H73" s="25"/>
      <c r="I73" s="25"/>
      <c r="J73" s="115"/>
      <c r="K73" s="37"/>
      <c r="L73" s="143"/>
      <c r="S73" t="e">
        <f t="shared" si="2"/>
        <v>#VALUE!</v>
      </c>
      <c r="T73">
        <f t="shared" ref="T73:T104" si="3">IF(ISERROR(S73),0,1)</f>
        <v>0</v>
      </c>
    </row>
    <row r="74" spans="1:20" ht="13">
      <c r="A74" s="143"/>
      <c r="B74" s="36"/>
      <c r="C74" s="112"/>
      <c r="D74" s="25"/>
      <c r="E74" s="25" t="s">
        <v>214</v>
      </c>
      <c r="F74" s="131"/>
      <c r="G74" s="25"/>
      <c r="H74" s="25"/>
      <c r="I74" s="132" t="str">
        <f>IF(Lookup!H9=1,IF(OR(inst_sing_no_e&lt;500,inst_sing_no_e&gt;10000),"No","Yes"),"N/A")</f>
        <v>No</v>
      </c>
      <c r="J74" s="115"/>
      <c r="K74" s="37"/>
      <c r="L74" s="143"/>
      <c r="O74" s="147">
        <f>IF(I74="Yes",1,0)</f>
        <v>0</v>
      </c>
      <c r="S74" t="e">
        <f t="shared" si="2"/>
        <v>#VALUE!</v>
      </c>
      <c r="T74">
        <f t="shared" si="3"/>
        <v>0</v>
      </c>
    </row>
    <row r="75" spans="1:20">
      <c r="A75" s="143"/>
      <c r="B75" s="36"/>
      <c r="C75" s="112"/>
      <c r="D75" s="25"/>
      <c r="E75" s="25"/>
      <c r="F75" s="131"/>
      <c r="G75" s="25"/>
      <c r="H75" s="25"/>
      <c r="I75" s="25"/>
      <c r="J75" s="115"/>
      <c r="K75" s="37"/>
      <c r="L75" s="143"/>
      <c r="S75" t="e">
        <f t="shared" si="2"/>
        <v>#VALUE!</v>
      </c>
      <c r="T75">
        <f t="shared" si="3"/>
        <v>0</v>
      </c>
    </row>
    <row r="76" spans="1:20" ht="13">
      <c r="A76" s="143"/>
      <c r="B76" s="36"/>
      <c r="C76" s="112"/>
      <c r="D76" s="25"/>
      <c r="E76" s="25" t="s">
        <v>85</v>
      </c>
      <c r="F76" s="114"/>
      <c r="G76" s="114"/>
      <c r="H76" s="25"/>
      <c r="I76" s="129" t="str">
        <f>IF(Lookup!H9=1,IF(AND(P70=0,I74="Yes"),"ACCEPTABLE","NOT ACCEPTABLE"),"N/A")</f>
        <v>NOT ACCEPTABLE</v>
      </c>
      <c r="J76" s="115"/>
      <c r="K76" s="37"/>
      <c r="L76" s="143"/>
      <c r="O76" s="147">
        <f>IF(I76="ACCEPTABLE",1,0)</f>
        <v>0</v>
      </c>
      <c r="S76">
        <f t="shared" ref="S76:S108" si="4">FIND("NOT",I76,1)</f>
        <v>1</v>
      </c>
      <c r="T76">
        <f t="shared" si="3"/>
        <v>1</v>
      </c>
    </row>
    <row r="77" spans="1:20">
      <c r="A77" s="143"/>
      <c r="B77" s="36"/>
      <c r="C77" s="112"/>
      <c r="D77" s="25"/>
      <c r="E77" s="25"/>
      <c r="F77" s="25"/>
      <c r="G77" s="25"/>
      <c r="H77" s="25"/>
      <c r="I77" s="25"/>
      <c r="J77" s="115"/>
      <c r="K77" s="37"/>
      <c r="L77" s="143"/>
      <c r="S77" t="e">
        <f t="shared" si="4"/>
        <v>#VALUE!</v>
      </c>
      <c r="T77">
        <f t="shared" si="3"/>
        <v>0</v>
      </c>
    </row>
    <row r="78" spans="1:20" ht="13">
      <c r="A78" s="143"/>
      <c r="B78" s="36"/>
      <c r="C78" s="112"/>
      <c r="D78" s="25" t="s">
        <v>106</v>
      </c>
      <c r="E78" s="114" t="s">
        <v>263</v>
      </c>
      <c r="F78" s="25"/>
      <c r="G78" s="120" t="str">
        <f>IF(Lookup!H9=1,"Does not apply.","")</f>
        <v>Does not apply.</v>
      </c>
      <c r="H78" s="25"/>
      <c r="I78" s="25"/>
      <c r="J78" s="115"/>
      <c r="K78" s="37"/>
      <c r="L78" s="143"/>
      <c r="O78" s="159"/>
      <c r="S78" t="e">
        <f t="shared" si="4"/>
        <v>#VALUE!</v>
      </c>
      <c r="T78">
        <f t="shared" si="3"/>
        <v>0</v>
      </c>
    </row>
    <row r="79" spans="1:20">
      <c r="A79" s="143"/>
      <c r="B79" s="36"/>
      <c r="C79" s="112"/>
      <c r="D79" s="25"/>
      <c r="E79" s="25"/>
      <c r="F79" s="25"/>
      <c r="G79" s="25"/>
      <c r="H79" s="25"/>
      <c r="I79" s="25"/>
      <c r="J79" s="115"/>
      <c r="K79" s="37"/>
      <c r="L79" s="143"/>
      <c r="S79" t="e">
        <f t="shared" si="4"/>
        <v>#VALUE!</v>
      </c>
      <c r="T79">
        <f t="shared" si="3"/>
        <v>0</v>
      </c>
    </row>
    <row r="80" spans="1:20">
      <c r="A80" s="143"/>
      <c r="B80" s="36"/>
      <c r="C80" s="112"/>
      <c r="D80" s="25"/>
      <c r="E80" s="25" t="s">
        <v>107</v>
      </c>
      <c r="F80" s="131" t="str">
        <f>inst_multi_no_e1</f>
        <v/>
      </c>
      <c r="G80" s="25"/>
      <c r="H80" s="25"/>
      <c r="I80" s="25"/>
      <c r="J80" s="115"/>
      <c r="K80" s="37"/>
      <c r="L80" s="143"/>
      <c r="S80" t="e">
        <f t="shared" si="4"/>
        <v>#VALUE!</v>
      </c>
      <c r="T80">
        <f t="shared" si="3"/>
        <v>0</v>
      </c>
    </row>
    <row r="81" spans="1:20">
      <c r="A81" s="143"/>
      <c r="B81" s="36"/>
      <c r="C81" s="112"/>
      <c r="D81" s="25"/>
      <c r="E81" s="25" t="s">
        <v>108</v>
      </c>
      <c r="F81" s="131" t="str">
        <f>inst_multi_no_e2</f>
        <v/>
      </c>
      <c r="G81" s="25"/>
      <c r="H81" s="25"/>
      <c r="I81" s="25"/>
      <c r="J81" s="115"/>
      <c r="K81" s="37"/>
      <c r="L81" s="143"/>
      <c r="S81" t="e">
        <f t="shared" si="4"/>
        <v>#VALUE!</v>
      </c>
      <c r="T81">
        <f t="shared" si="3"/>
        <v>0</v>
      </c>
    </row>
    <row r="82" spans="1:20">
      <c r="A82" s="143"/>
      <c r="B82" s="36"/>
      <c r="C82" s="112"/>
      <c r="D82" s="25"/>
      <c r="E82" s="25" t="s">
        <v>109</v>
      </c>
      <c r="F82" s="131" t="str">
        <f>inst_multi_no_e3</f>
        <v/>
      </c>
      <c r="G82" s="25"/>
      <c r="H82" s="25"/>
      <c r="I82" s="25"/>
      <c r="J82" s="115"/>
      <c r="K82" s="37"/>
      <c r="L82" s="143"/>
      <c r="S82" t="e">
        <f t="shared" si="4"/>
        <v>#VALUE!</v>
      </c>
      <c r="T82">
        <f t="shared" si="3"/>
        <v>0</v>
      </c>
    </row>
    <row r="83" spans="1:20">
      <c r="A83" s="143"/>
      <c r="B83" s="36"/>
      <c r="C83" s="112"/>
      <c r="D83" s="25"/>
      <c r="E83" s="25" t="s">
        <v>110</v>
      </c>
      <c r="F83" s="131" t="str">
        <f>inst_multi_no_e4</f>
        <v/>
      </c>
      <c r="G83" s="25"/>
      <c r="H83" s="25"/>
      <c r="I83" s="25"/>
      <c r="J83" s="115"/>
      <c r="K83" s="37"/>
      <c r="L83" s="143"/>
      <c r="S83" t="e">
        <f t="shared" si="4"/>
        <v>#VALUE!</v>
      </c>
      <c r="T83">
        <f t="shared" si="3"/>
        <v>0</v>
      </c>
    </row>
    <row r="84" spans="1:20">
      <c r="A84" s="143"/>
      <c r="B84" s="36"/>
      <c r="C84" s="112"/>
      <c r="D84" s="25"/>
      <c r="E84" s="25" t="s">
        <v>103</v>
      </c>
      <c r="F84" s="131">
        <f>cell_max_e</f>
        <v>0</v>
      </c>
      <c r="G84" s="25"/>
      <c r="H84" s="25"/>
      <c r="I84" s="25"/>
      <c r="J84" s="115"/>
      <c r="K84" s="37"/>
      <c r="L84" s="143"/>
      <c r="S84" t="e">
        <f t="shared" si="4"/>
        <v>#VALUE!</v>
      </c>
      <c r="T84">
        <f t="shared" si="3"/>
        <v>0</v>
      </c>
    </row>
    <row r="85" spans="1:20">
      <c r="A85" s="143"/>
      <c r="B85" s="36"/>
      <c r="C85" s="112"/>
      <c r="D85" s="25"/>
      <c r="E85" s="25" t="s">
        <v>104</v>
      </c>
      <c r="F85" s="131">
        <f>ind_max_e</f>
        <v>0</v>
      </c>
      <c r="G85" s="25"/>
      <c r="H85" s="25"/>
      <c r="I85" s="25"/>
      <c r="J85" s="115"/>
      <c r="K85" s="37"/>
      <c r="L85" s="143"/>
      <c r="S85" t="e">
        <f t="shared" si="4"/>
        <v>#VALUE!</v>
      </c>
      <c r="T85">
        <f t="shared" si="3"/>
        <v>0</v>
      </c>
    </row>
    <row r="86" spans="1:20">
      <c r="A86" s="143"/>
      <c r="B86" s="36"/>
      <c r="C86" s="112"/>
      <c r="D86" s="25"/>
      <c r="E86" s="25"/>
      <c r="F86" s="25"/>
      <c r="G86" s="25"/>
      <c r="H86" s="25"/>
      <c r="I86" s="25"/>
      <c r="J86" s="115"/>
      <c r="K86" s="37"/>
      <c r="L86" s="143"/>
      <c r="S86" t="e">
        <f t="shared" si="4"/>
        <v>#VALUE!</v>
      </c>
      <c r="T86">
        <f t="shared" si="3"/>
        <v>0</v>
      </c>
    </row>
    <row r="87" spans="1:20" ht="13">
      <c r="A87" s="143"/>
      <c r="B87" s="36"/>
      <c r="C87" s="112"/>
      <c r="D87" s="25"/>
      <c r="E87" s="25" t="s">
        <v>105</v>
      </c>
      <c r="F87" s="25"/>
      <c r="G87" s="25"/>
      <c r="H87" s="25"/>
      <c r="I87" s="129" t="str">
        <f>IF(Lookup!H9=1,"N/A",IF(AND(inst_multi_no_e_greatest&lt;=cell_max_e,inst_multi_no_e_greatest&lt;=ind_max_e),"Yes","No"))</f>
        <v>N/A</v>
      </c>
      <c r="J87" s="115"/>
      <c r="K87" s="37"/>
      <c r="L87" s="143"/>
      <c r="O87" s="147">
        <f>IF(I87="Yes",1,0)</f>
        <v>0</v>
      </c>
      <c r="S87" t="e">
        <f t="shared" si="4"/>
        <v>#VALUE!</v>
      </c>
      <c r="T87">
        <f t="shared" si="3"/>
        <v>0</v>
      </c>
    </row>
    <row r="88" spans="1:20">
      <c r="A88" s="143"/>
      <c r="B88" s="36"/>
      <c r="C88" s="112"/>
      <c r="D88" s="25"/>
      <c r="E88" s="25"/>
      <c r="F88" s="25"/>
      <c r="G88" s="25"/>
      <c r="H88" s="25"/>
      <c r="I88" s="25"/>
      <c r="J88" s="115"/>
      <c r="K88" s="37"/>
      <c r="L88" s="143"/>
      <c r="O88" s="1"/>
      <c r="S88" t="e">
        <f t="shared" si="4"/>
        <v>#VALUE!</v>
      </c>
      <c r="T88">
        <f t="shared" si="3"/>
        <v>0</v>
      </c>
    </row>
    <row r="89" spans="1:20" ht="13">
      <c r="A89" s="143"/>
      <c r="B89" s="36"/>
      <c r="C89" s="112"/>
      <c r="D89" s="25"/>
      <c r="E89" s="25" t="s">
        <v>214</v>
      </c>
      <c r="F89" s="25"/>
      <c r="G89" s="25"/>
      <c r="H89" s="25"/>
      <c r="I89" s="132" t="str">
        <f>IF(Lookup!H9=1,"N/A",IF(OR(inst_multi_no_e_least&lt;500,inst_multi_no_e_greatest&gt;10000),"No","Yes"))</f>
        <v>N/A</v>
      </c>
      <c r="J89" s="115"/>
      <c r="K89" s="37"/>
      <c r="L89" s="143"/>
      <c r="O89" s="147">
        <f>IF(I89="Yes",1,0)</f>
        <v>0</v>
      </c>
      <c r="S89" t="e">
        <f t="shared" si="4"/>
        <v>#VALUE!</v>
      </c>
      <c r="T89">
        <f t="shared" si="3"/>
        <v>0</v>
      </c>
    </row>
    <row r="90" spans="1:20">
      <c r="A90" s="143"/>
      <c r="B90" s="36"/>
      <c r="C90" s="112"/>
      <c r="D90" s="25"/>
      <c r="E90" s="25"/>
      <c r="F90" s="25"/>
      <c r="G90" s="25"/>
      <c r="H90" s="25"/>
      <c r="I90" s="25"/>
      <c r="J90" s="115"/>
      <c r="K90" s="37"/>
      <c r="L90" s="143"/>
      <c r="S90" t="e">
        <f t="shared" si="4"/>
        <v>#VALUE!</v>
      </c>
      <c r="T90">
        <f t="shared" si="3"/>
        <v>0</v>
      </c>
    </row>
    <row r="91" spans="1:20" ht="13">
      <c r="A91" s="143"/>
      <c r="B91" s="36"/>
      <c r="C91" s="112"/>
      <c r="D91" s="25"/>
      <c r="E91" s="146" t="s">
        <v>111</v>
      </c>
      <c r="F91" s="25"/>
      <c r="G91" s="129" t="str">
        <f>IF(Lookup!H9=1,"N/A",IF('Instrument specs'!$W$38="OK","Yes","No"))</f>
        <v>N/A</v>
      </c>
      <c r="H91" s="25"/>
      <c r="I91" s="25"/>
      <c r="J91" s="115"/>
      <c r="K91" s="37"/>
      <c r="L91" s="143"/>
      <c r="O91" s="147">
        <f>IF(G91="Yes",1,0)</f>
        <v>0</v>
      </c>
      <c r="S91" t="e">
        <f t="shared" si="4"/>
        <v>#VALUE!</v>
      </c>
      <c r="T91">
        <f t="shared" si="3"/>
        <v>0</v>
      </c>
    </row>
    <row r="92" spans="1:20">
      <c r="A92" s="143"/>
      <c r="B92" s="36"/>
      <c r="C92" s="112"/>
      <c r="D92" s="25"/>
      <c r="E92" s="25"/>
      <c r="F92" s="25"/>
      <c r="G92" s="25"/>
      <c r="H92" s="25"/>
      <c r="I92" s="25"/>
      <c r="J92" s="115"/>
      <c r="K92" s="37"/>
      <c r="L92" s="143"/>
      <c r="S92" t="e">
        <f t="shared" si="4"/>
        <v>#VALUE!</v>
      </c>
      <c r="T92">
        <f t="shared" si="3"/>
        <v>0</v>
      </c>
    </row>
    <row r="93" spans="1:20" ht="13">
      <c r="A93" s="143"/>
      <c r="B93" s="36"/>
      <c r="C93" s="112"/>
      <c r="D93" s="25"/>
      <c r="E93" s="25" t="s">
        <v>85</v>
      </c>
      <c r="F93" s="25"/>
      <c r="G93" s="25"/>
      <c r="H93" s="25"/>
      <c r="I93" s="129" t="str">
        <f>IF(Lookup!H9=1,"N/A",IF(SUM(O87,O89,O91)=3,"ACCEPTABLE","NOT ACCEPTABLE"))</f>
        <v>N/A</v>
      </c>
      <c r="J93" s="115"/>
      <c r="K93" s="37"/>
      <c r="L93" s="143"/>
      <c r="O93" s="147">
        <f>IF(I93="ACCEPTABLE",1,0)</f>
        <v>0</v>
      </c>
      <c r="S93" t="e">
        <f t="shared" si="4"/>
        <v>#VALUE!</v>
      </c>
      <c r="T93">
        <f t="shared" si="3"/>
        <v>0</v>
      </c>
    </row>
    <row r="94" spans="1:20" ht="13">
      <c r="A94" s="143"/>
      <c r="B94" s="36"/>
      <c r="C94" s="112"/>
      <c r="D94" s="25" t="s">
        <v>112</v>
      </c>
      <c r="E94" s="114" t="s">
        <v>113</v>
      </c>
      <c r="F94" s="120" t="str">
        <f>IF(Lookup!H9&lt;&gt;2,"Does not apply.","")</f>
        <v>Does not apply.</v>
      </c>
      <c r="G94" s="25"/>
      <c r="H94" s="25"/>
      <c r="I94" s="25"/>
      <c r="J94" s="115"/>
      <c r="K94" s="37"/>
      <c r="L94" s="143"/>
      <c r="O94" s="82">
        <f>SUM(O87,O89,O91)</f>
        <v>0</v>
      </c>
      <c r="P94" t="s">
        <v>114</v>
      </c>
      <c r="S94" t="e">
        <f t="shared" si="4"/>
        <v>#VALUE!</v>
      </c>
      <c r="T94">
        <f t="shared" si="3"/>
        <v>0</v>
      </c>
    </row>
    <row r="95" spans="1:20">
      <c r="A95" s="143"/>
      <c r="B95" s="36"/>
      <c r="C95" s="112"/>
      <c r="D95" s="25"/>
      <c r="E95" s="25"/>
      <c r="F95" s="25"/>
      <c r="G95" s="25"/>
      <c r="H95" s="25"/>
      <c r="I95" s="25"/>
      <c r="J95" s="115"/>
      <c r="K95" s="37"/>
      <c r="L95" s="143"/>
      <c r="S95" t="e">
        <f t="shared" si="4"/>
        <v>#VALUE!</v>
      </c>
      <c r="T95">
        <f t="shared" si="3"/>
        <v>0</v>
      </c>
    </row>
    <row r="96" spans="1:20">
      <c r="A96" s="143"/>
      <c r="B96" s="36"/>
      <c r="C96" s="112"/>
      <c r="D96" s="25"/>
      <c r="E96" s="25" t="s">
        <v>115</v>
      </c>
      <c r="F96" s="25"/>
      <c r="G96" s="25"/>
      <c r="H96" s="25"/>
      <c r="I96" s="25"/>
      <c r="J96" s="115"/>
      <c r="K96" s="37"/>
      <c r="L96" s="143"/>
      <c r="P96" s="159">
        <f>SUM(O72,O74,O76,O87,O89,O91)</f>
        <v>1</v>
      </c>
      <c r="Q96" s="160" t="str">
        <f>IF(P96=3,"ACCEPTABLE","NOT ACCEPTABLE")</f>
        <v>NOT ACCEPTABLE</v>
      </c>
      <c r="S96" t="e">
        <f t="shared" si="4"/>
        <v>#VALUE!</v>
      </c>
      <c r="T96">
        <f t="shared" si="3"/>
        <v>0</v>
      </c>
    </row>
    <row r="97" spans="1:20">
      <c r="A97" s="143"/>
      <c r="B97" s="36"/>
      <c r="C97" s="112"/>
      <c r="D97" s="25"/>
      <c r="E97" s="25"/>
      <c r="F97" s="25"/>
      <c r="G97" s="25"/>
      <c r="H97" s="25"/>
      <c r="I97" s="25"/>
      <c r="J97" s="115"/>
      <c r="K97" s="37"/>
      <c r="L97" s="143"/>
      <c r="S97" t="e">
        <f t="shared" si="4"/>
        <v>#VALUE!</v>
      </c>
      <c r="T97">
        <f t="shared" si="3"/>
        <v>0</v>
      </c>
    </row>
    <row r="98" spans="1:20">
      <c r="A98" s="143"/>
      <c r="B98" s="36"/>
      <c r="C98" s="112"/>
      <c r="D98" s="25"/>
      <c r="E98" s="146" t="s">
        <v>164</v>
      </c>
      <c r="F98" s="25"/>
      <c r="G98" s="129" t="str">
        <f>IF(Lookup!H9&lt;&gt;2,"N/A",IF(cell_DR&lt;=(inst_multi_e_1*inst_multi_e_factor)/(inst_R_calcs*SQRT(inst_N)),"Yes","No"))</f>
        <v>N/A</v>
      </c>
      <c r="H98" s="25"/>
      <c r="I98" s="25"/>
      <c r="J98" s="115"/>
      <c r="K98" s="37"/>
      <c r="L98" s="143"/>
      <c r="O98" s="1">
        <f>IF(G98="Yes",1,0)</f>
        <v>0</v>
      </c>
      <c r="S98" t="e">
        <f t="shared" si="4"/>
        <v>#VALUE!</v>
      </c>
      <c r="T98">
        <f t="shared" si="3"/>
        <v>0</v>
      </c>
    </row>
    <row r="99" spans="1:20">
      <c r="A99" s="143"/>
      <c r="B99" s="36"/>
      <c r="C99" s="112"/>
      <c r="D99" s="25"/>
      <c r="E99" s="25"/>
      <c r="F99" s="25"/>
      <c r="G99" s="25"/>
      <c r="H99" s="25"/>
      <c r="I99" s="25"/>
      <c r="J99" s="115"/>
      <c r="K99" s="37"/>
      <c r="L99" s="143"/>
      <c r="S99" t="e">
        <f t="shared" si="4"/>
        <v>#VALUE!</v>
      </c>
      <c r="T99">
        <f t="shared" si="3"/>
        <v>0</v>
      </c>
    </row>
    <row r="100" spans="1:20" ht="13">
      <c r="A100" s="143"/>
      <c r="B100" s="36"/>
      <c r="C100" s="112"/>
      <c r="D100" s="25"/>
      <c r="E100" s="25" t="s">
        <v>85</v>
      </c>
      <c r="F100" s="25"/>
      <c r="G100" s="25"/>
      <c r="H100" s="25"/>
      <c r="I100" s="129" t="str">
        <f>IF(Lookup!H9&lt;&gt;2,"N/A",IF(SUM(O94,O98)=4,"ACCEPTABLE","NOT ACCEPTABLE"))</f>
        <v>N/A</v>
      </c>
      <c r="J100" s="115"/>
      <c r="K100" s="37"/>
      <c r="L100" s="143"/>
      <c r="O100" s="147">
        <f>IF(I100="ACCEPTABLE",1,0)</f>
        <v>0</v>
      </c>
      <c r="S100" t="e">
        <f t="shared" si="4"/>
        <v>#VALUE!</v>
      </c>
      <c r="T100">
        <f t="shared" si="3"/>
        <v>0</v>
      </c>
    </row>
    <row r="101" spans="1:20">
      <c r="A101" s="143"/>
      <c r="B101" s="36"/>
      <c r="C101" s="112"/>
      <c r="D101" s="25"/>
      <c r="E101" s="25"/>
      <c r="F101" s="25"/>
      <c r="G101" s="25"/>
      <c r="H101" s="25"/>
      <c r="I101" s="25"/>
      <c r="J101" s="115"/>
      <c r="K101" s="37"/>
      <c r="L101" s="143"/>
      <c r="S101" t="e">
        <f t="shared" si="4"/>
        <v>#VALUE!</v>
      </c>
      <c r="T101">
        <f t="shared" si="3"/>
        <v>0</v>
      </c>
    </row>
    <row r="102" spans="1:20" ht="13">
      <c r="A102" s="143"/>
      <c r="B102" s="36"/>
      <c r="C102" s="112"/>
      <c r="D102" s="25" t="s">
        <v>116</v>
      </c>
      <c r="E102" s="114" t="s">
        <v>117</v>
      </c>
      <c r="F102" s="120" t="str">
        <f>IF(Lookup!H9&lt;&gt;3,"Does not apply.","")</f>
        <v>Does not apply.</v>
      </c>
      <c r="G102" s="25"/>
      <c r="H102" s="25"/>
      <c r="I102" s="25"/>
      <c r="J102" s="115"/>
      <c r="K102" s="37"/>
      <c r="L102" s="143"/>
      <c r="S102" t="e">
        <f t="shared" si="4"/>
        <v>#VALUE!</v>
      </c>
      <c r="T102">
        <f t="shared" si="3"/>
        <v>0</v>
      </c>
    </row>
    <row r="103" spans="1:20">
      <c r="A103" s="143"/>
      <c r="B103" s="36"/>
      <c r="C103" s="112"/>
      <c r="D103" s="25"/>
      <c r="E103" s="25"/>
      <c r="F103" s="25"/>
      <c r="G103" s="25"/>
      <c r="H103" s="25"/>
      <c r="I103" s="25"/>
      <c r="J103" s="115"/>
      <c r="K103" s="37"/>
      <c r="L103" s="143"/>
      <c r="S103" t="e">
        <f t="shared" si="4"/>
        <v>#VALUE!</v>
      </c>
      <c r="T103">
        <f t="shared" si="3"/>
        <v>0</v>
      </c>
    </row>
    <row r="104" spans="1:20">
      <c r="A104" s="143"/>
      <c r="B104" s="36"/>
      <c r="C104" s="112"/>
      <c r="D104" s="25"/>
      <c r="E104" s="25" t="s">
        <v>115</v>
      </c>
      <c r="F104" s="25"/>
      <c r="G104" s="25"/>
      <c r="H104" s="25"/>
      <c r="I104" s="25"/>
      <c r="J104" s="115"/>
      <c r="K104" s="37"/>
      <c r="L104" s="143"/>
      <c r="S104" t="e">
        <f t="shared" si="4"/>
        <v>#VALUE!</v>
      </c>
      <c r="T104">
        <f t="shared" si="3"/>
        <v>0</v>
      </c>
    </row>
    <row r="105" spans="1:20">
      <c r="A105" s="143"/>
      <c r="B105" s="36"/>
      <c r="C105" s="112"/>
      <c r="D105" s="25"/>
      <c r="E105" s="25"/>
      <c r="F105" s="25"/>
      <c r="G105" s="25"/>
      <c r="H105" s="25"/>
      <c r="I105" s="25"/>
      <c r="J105" s="115"/>
      <c r="K105" s="37"/>
      <c r="L105" s="143"/>
      <c r="S105" t="e">
        <f t="shared" si="4"/>
        <v>#VALUE!</v>
      </c>
      <c r="T105">
        <f t="shared" ref="T105:T136" si="5">IF(ISERROR(S105),0,1)</f>
        <v>0</v>
      </c>
    </row>
    <row r="106" spans="1:20">
      <c r="A106" s="143"/>
      <c r="B106" s="36"/>
      <c r="C106" s="112"/>
      <c r="D106" s="25"/>
      <c r="E106" s="146" t="s">
        <v>163</v>
      </c>
      <c r="F106" s="25"/>
      <c r="G106" s="132" t="str">
        <f>IF(Lookup!H9&lt;&gt;3,"N/A",IF(cell_DR&lt;=0.5*(inst_multi_e_1*inst_multi_e_factor)/(inst_R_calcs*SQRT(inst_N)),"Yes","No"))</f>
        <v>N/A</v>
      </c>
      <c r="H106" s="25"/>
      <c r="I106" s="25"/>
      <c r="J106" s="115"/>
      <c r="K106" s="37"/>
      <c r="L106" s="143"/>
      <c r="O106" s="1">
        <f>IF(G106="Yes",1,0)</f>
        <v>0</v>
      </c>
      <c r="Q106" s="160" t="str">
        <f>IF(AND(Lookup!H9=2,G98="No"),"NOT ACCEPTABLE",IF(AND(Lookup!H9=3,OR(G106="No",G107="No")),"NOT ACCEPTABLE","ACCEPTABLE"))</f>
        <v>ACCEPTABLE</v>
      </c>
      <c r="S106" t="e">
        <f t="shared" si="4"/>
        <v>#VALUE!</v>
      </c>
      <c r="T106">
        <f t="shared" si="5"/>
        <v>0</v>
      </c>
    </row>
    <row r="107" spans="1:20">
      <c r="A107" s="143"/>
      <c r="B107" s="36"/>
      <c r="C107" s="112"/>
      <c r="D107" s="25"/>
      <c r="E107" s="239" t="s">
        <v>215</v>
      </c>
      <c r="F107" s="25"/>
      <c r="G107" s="242" t="str">
        <f>IF(Lookup!H9&lt;&gt;3,"N/A",IF('Instrument specs'!$AG$43="Table 4 OK","Yes","No - check &amp; refer to NMI Pattern Approval"))</f>
        <v>N/A</v>
      </c>
      <c r="H107" s="25"/>
      <c r="I107" s="25"/>
      <c r="J107" s="115"/>
      <c r="K107" s="37"/>
      <c r="L107" s="143"/>
      <c r="O107" s="1">
        <f>IF(G107="Yes",1,0)</f>
        <v>0</v>
      </c>
      <c r="S107" t="e">
        <f t="shared" si="4"/>
        <v>#VALUE!</v>
      </c>
      <c r="T107">
        <f t="shared" si="5"/>
        <v>0</v>
      </c>
    </row>
    <row r="108" spans="1:20" ht="13">
      <c r="A108" s="143"/>
      <c r="B108" s="36"/>
      <c r="C108" s="112"/>
      <c r="D108" s="25"/>
      <c r="E108" s="25" t="s">
        <v>85</v>
      </c>
      <c r="F108" s="25"/>
      <c r="G108" s="25"/>
      <c r="H108" s="25"/>
      <c r="I108" s="129" t="str">
        <f>IF(Lookup!H9&lt;&gt;3,"N/A",IF(SUM(O94,O106,O107)=5,"ACCEPTABLE","NOT ACCEPTABLE"))</f>
        <v>N/A</v>
      </c>
      <c r="J108" s="115"/>
      <c r="K108" s="37"/>
      <c r="L108" s="143"/>
      <c r="O108" s="147">
        <f>IF(I108="ACCEPTABLE",1,0)</f>
        <v>0</v>
      </c>
      <c r="S108" t="e">
        <f t="shared" si="4"/>
        <v>#VALUE!</v>
      </c>
      <c r="T108">
        <f t="shared" si="5"/>
        <v>0</v>
      </c>
    </row>
    <row r="109" spans="1:20">
      <c r="A109" s="143"/>
      <c r="B109" s="36"/>
      <c r="C109" s="116"/>
      <c r="D109" s="117"/>
      <c r="E109" s="117"/>
      <c r="F109" s="117"/>
      <c r="G109" s="117"/>
      <c r="H109" s="117"/>
      <c r="I109" s="117"/>
      <c r="J109" s="118"/>
      <c r="K109" s="37"/>
      <c r="L109" s="143"/>
      <c r="S109" t="e">
        <f t="shared" ref="S109:S136" si="6">FIND("NOT",I109,1)</f>
        <v>#VALUE!</v>
      </c>
      <c r="T109">
        <f t="shared" si="5"/>
        <v>0</v>
      </c>
    </row>
    <row r="110" spans="1:20">
      <c r="A110" s="143"/>
      <c r="B110" s="36"/>
      <c r="C110" s="3"/>
      <c r="D110" s="3"/>
      <c r="E110" s="3"/>
      <c r="F110" s="3"/>
      <c r="G110" s="3"/>
      <c r="H110" s="3"/>
      <c r="I110" s="3"/>
      <c r="J110" s="3"/>
      <c r="K110" s="37"/>
      <c r="L110" s="143"/>
      <c r="S110" t="e">
        <f t="shared" si="6"/>
        <v>#VALUE!</v>
      </c>
      <c r="T110">
        <f t="shared" si="5"/>
        <v>0</v>
      </c>
    </row>
    <row r="111" spans="1:20">
      <c r="A111" s="143"/>
      <c r="B111" s="36"/>
      <c r="C111" s="109"/>
      <c r="D111" s="110"/>
      <c r="E111" s="110"/>
      <c r="F111" s="110"/>
      <c r="G111" s="110"/>
      <c r="H111" s="110"/>
      <c r="I111" s="110"/>
      <c r="J111" s="111"/>
      <c r="K111" s="37"/>
      <c r="L111" s="143"/>
      <c r="S111" t="e">
        <f t="shared" si="6"/>
        <v>#VALUE!</v>
      </c>
      <c r="T111">
        <f t="shared" si="5"/>
        <v>0</v>
      </c>
    </row>
    <row r="112" spans="1:20" ht="13">
      <c r="A112" s="143"/>
      <c r="B112" s="36"/>
      <c r="C112" s="112"/>
      <c r="D112" s="131">
        <v>6.4</v>
      </c>
      <c r="E112" s="130" t="s">
        <v>264</v>
      </c>
      <c r="F112" s="25"/>
      <c r="G112" s="25"/>
      <c r="H112" s="25"/>
      <c r="I112" s="25"/>
      <c r="J112" s="115"/>
      <c r="K112" s="37"/>
      <c r="L112" s="143"/>
      <c r="S112" t="e">
        <f t="shared" si="6"/>
        <v>#VALUE!</v>
      </c>
      <c r="T112">
        <f t="shared" si="5"/>
        <v>0</v>
      </c>
    </row>
    <row r="113" spans="1:20">
      <c r="A113" s="143"/>
      <c r="B113" s="36"/>
      <c r="C113" s="112"/>
      <c r="D113" s="25"/>
      <c r="E113" s="25"/>
      <c r="F113" s="25"/>
      <c r="G113" s="25"/>
      <c r="H113" s="25"/>
      <c r="I113" s="25"/>
      <c r="J113" s="115"/>
      <c r="K113" s="37"/>
      <c r="L113" s="143"/>
      <c r="S113" t="e">
        <f t="shared" si="6"/>
        <v>#VALUE!</v>
      </c>
      <c r="T113">
        <f t="shared" si="5"/>
        <v>0</v>
      </c>
    </row>
    <row r="114" spans="1:20">
      <c r="A114" s="143"/>
      <c r="B114" s="36"/>
      <c r="C114" s="112"/>
      <c r="D114" s="25"/>
      <c r="E114" s="146" t="s">
        <v>162</v>
      </c>
      <c r="F114" s="25"/>
      <c r="G114" s="25"/>
      <c r="H114" s="25"/>
      <c r="I114" s="25"/>
      <c r="J114" s="115"/>
      <c r="K114" s="37"/>
      <c r="L114" s="143"/>
      <c r="P114" t="s">
        <v>118</v>
      </c>
      <c r="S114" t="e">
        <f t="shared" si="6"/>
        <v>#VALUE!</v>
      </c>
      <c r="T114">
        <f t="shared" si="5"/>
        <v>0</v>
      </c>
    </row>
    <row r="115" spans="1:20">
      <c r="A115" s="143"/>
      <c r="B115" s="36"/>
      <c r="C115" s="112"/>
      <c r="D115" s="25"/>
      <c r="E115" s="25"/>
      <c r="F115" s="25"/>
      <c r="G115" s="25"/>
      <c r="H115" s="25"/>
      <c r="I115" s="25"/>
      <c r="J115" s="115"/>
      <c r="K115" s="37"/>
      <c r="L115" s="143"/>
      <c r="P115" s="1">
        <f>IF(Lookup!H9&lt;&gt;1,inst_multi_e_1*inst_multi_e_factor,inst_sing_e*inst_sing_e_factor)</f>
        <v>0</v>
      </c>
      <c r="S115" t="e">
        <f t="shared" si="6"/>
        <v>#VALUE!</v>
      </c>
      <c r="T115">
        <f t="shared" si="5"/>
        <v>0</v>
      </c>
    </row>
    <row r="116" spans="1:20" ht="13">
      <c r="A116" s="143"/>
      <c r="B116" s="36"/>
      <c r="C116" s="112"/>
      <c r="D116" s="25"/>
      <c r="E116" s="25" t="s">
        <v>85</v>
      </c>
      <c r="F116" s="25"/>
      <c r="G116" s="25"/>
      <c r="H116" s="25"/>
      <c r="I116" s="145" t="e">
        <f>IF(cell_Vmin&lt;=(inst_value_e_calcs)/(inst_R_calcs*SQRT(inst_N)),"ACCEPTABLE","NOT ACCEPTABLE")</f>
        <v>#DIV/0!</v>
      </c>
      <c r="J116" s="115"/>
      <c r="K116" s="37"/>
      <c r="L116" s="143"/>
      <c r="O116" s="147" t="e">
        <f>IF(I116="ACCEPTABLE",1,0)</f>
        <v>#DIV/0!</v>
      </c>
      <c r="Q116" s="160" t="e">
        <f>IF(O116=1,"ACCEPTABLE","NOT ACCEPTABLE")</f>
        <v>#DIV/0!</v>
      </c>
      <c r="S116" t="e">
        <f t="shared" si="6"/>
        <v>#DIV/0!</v>
      </c>
      <c r="T116">
        <f t="shared" si="5"/>
        <v>0</v>
      </c>
    </row>
    <row r="117" spans="1:20">
      <c r="A117" s="143"/>
      <c r="B117" s="36"/>
      <c r="C117" s="116"/>
      <c r="D117" s="117"/>
      <c r="E117" s="117"/>
      <c r="F117" s="117"/>
      <c r="G117" s="117"/>
      <c r="H117" s="117"/>
      <c r="I117" s="117"/>
      <c r="J117" s="118"/>
      <c r="K117" s="37"/>
      <c r="L117" s="143"/>
      <c r="S117" t="e">
        <f t="shared" si="6"/>
        <v>#VALUE!</v>
      </c>
      <c r="T117">
        <f t="shared" si="5"/>
        <v>0</v>
      </c>
    </row>
    <row r="118" spans="1:20">
      <c r="A118" s="143"/>
      <c r="B118" s="36"/>
      <c r="C118" s="3"/>
      <c r="D118" s="3"/>
      <c r="E118" s="3"/>
      <c r="F118" s="3"/>
      <c r="G118" s="3"/>
      <c r="H118" s="3"/>
      <c r="I118" s="3"/>
      <c r="J118" s="3"/>
      <c r="K118" s="37"/>
      <c r="L118" s="143"/>
      <c r="S118" t="e">
        <f t="shared" si="6"/>
        <v>#VALUE!</v>
      </c>
      <c r="T118">
        <f t="shared" si="5"/>
        <v>0</v>
      </c>
    </row>
    <row r="119" spans="1:20">
      <c r="A119" s="143"/>
      <c r="B119" s="36"/>
      <c r="C119" s="109"/>
      <c r="D119" s="110"/>
      <c r="E119" s="110"/>
      <c r="F119" s="110"/>
      <c r="G119" s="110"/>
      <c r="H119" s="110"/>
      <c r="I119" s="110"/>
      <c r="J119" s="111"/>
      <c r="K119" s="37"/>
      <c r="L119" s="143"/>
      <c r="S119" t="e">
        <f t="shared" si="6"/>
        <v>#VALUE!</v>
      </c>
      <c r="T119">
        <f t="shared" si="5"/>
        <v>0</v>
      </c>
    </row>
    <row r="120" spans="1:20" ht="13">
      <c r="A120" s="143"/>
      <c r="B120" s="36"/>
      <c r="C120" s="112"/>
      <c r="D120" s="131">
        <v>6.5</v>
      </c>
      <c r="E120" s="130" t="s">
        <v>119</v>
      </c>
      <c r="F120" s="25"/>
      <c r="G120" s="25"/>
      <c r="H120" s="25"/>
      <c r="I120" s="214"/>
      <c r="J120" s="115"/>
      <c r="K120" s="37"/>
      <c r="L120" s="143"/>
      <c r="S120" t="e">
        <f t="shared" si="6"/>
        <v>#VALUE!</v>
      </c>
      <c r="T120">
        <f t="shared" si="5"/>
        <v>0</v>
      </c>
    </row>
    <row r="121" spans="1:20">
      <c r="A121" s="143"/>
      <c r="B121" s="36"/>
      <c r="C121" s="112"/>
      <c r="D121" s="25"/>
      <c r="E121" s="25"/>
      <c r="F121" s="25"/>
      <c r="G121" s="25"/>
      <c r="H121" s="25"/>
      <c r="I121" s="25"/>
      <c r="J121" s="115"/>
      <c r="K121" s="37"/>
      <c r="L121" s="143"/>
      <c r="S121" t="e">
        <f t="shared" si="6"/>
        <v>#VALUE!</v>
      </c>
      <c r="T121">
        <f t="shared" si="5"/>
        <v>0</v>
      </c>
    </row>
    <row r="122" spans="1:20">
      <c r="A122" s="143"/>
      <c r="B122" s="36"/>
      <c r="C122" s="112"/>
      <c r="D122" s="25"/>
      <c r="E122" s="146" t="s">
        <v>187</v>
      </c>
      <c r="F122" s="25"/>
      <c r="G122" s="25"/>
      <c r="H122" s="25"/>
      <c r="I122" s="25"/>
      <c r="J122" s="115"/>
      <c r="K122" s="37"/>
      <c r="L122" s="143"/>
      <c r="S122" t="e">
        <f t="shared" si="6"/>
        <v>#VALUE!</v>
      </c>
      <c r="T122">
        <f t="shared" si="5"/>
        <v>0</v>
      </c>
    </row>
    <row r="123" spans="1:20">
      <c r="A123" s="143"/>
      <c r="B123" s="36"/>
      <c r="C123" s="112"/>
      <c r="D123" s="25"/>
      <c r="E123" s="25"/>
      <c r="F123" s="25"/>
      <c r="G123" s="25"/>
      <c r="H123" s="25"/>
      <c r="I123" s="25"/>
      <c r="J123" s="115"/>
      <c r="K123" s="37"/>
      <c r="L123" s="143"/>
      <c r="S123" t="e">
        <f t="shared" si="6"/>
        <v>#VALUE!</v>
      </c>
      <c r="T123">
        <f t="shared" si="5"/>
        <v>0</v>
      </c>
    </row>
    <row r="124" spans="1:20" ht="13">
      <c r="A124" s="143"/>
      <c r="B124" s="36"/>
      <c r="C124" s="112"/>
      <c r="D124" s="25"/>
      <c r="E124" s="25" t="s">
        <v>85</v>
      </c>
      <c r="F124" s="25"/>
      <c r="G124" s="25"/>
      <c r="H124" s="25"/>
      <c r="I124" s="129" t="e">
        <f>IF(output_type=2,"N/A",IF((ind_sens*0.001 &lt;= ind_Vexc*cell_mv*(inst_max_used/(inst_R_calcs*inst_N*cell_max_cap*cell_max_factor))/(inst_max_used/inst_value_e_calcs)),"ACCEPTABLE","NOT ACCEPTABLE"))</f>
        <v>#DIV/0!</v>
      </c>
      <c r="J124" s="115"/>
      <c r="K124" s="37"/>
      <c r="L124" s="143"/>
      <c r="O124" s="147" t="e">
        <f>IF(I124="N/A",2,IF(I124="ACCEPTABLE",1,0))</f>
        <v>#DIV/0!</v>
      </c>
      <c r="Q124" s="160" t="e">
        <f>IF(O124=2,"N/A",IF(O124=1,"ACCEPTABLE","NOT ACCEPTABLE"))</f>
        <v>#DIV/0!</v>
      </c>
      <c r="S124" t="e">
        <f t="shared" si="6"/>
        <v>#DIV/0!</v>
      </c>
      <c r="T124">
        <f t="shared" si="5"/>
        <v>0</v>
      </c>
    </row>
    <row r="125" spans="1:20">
      <c r="A125" s="143"/>
      <c r="B125" s="36"/>
      <c r="C125" s="116"/>
      <c r="D125" s="117"/>
      <c r="E125" s="117"/>
      <c r="F125" s="117"/>
      <c r="G125" s="117"/>
      <c r="H125" s="117"/>
      <c r="I125" s="238" t="e">
        <f>IF(output_type=2,"",ind_Vexc*cell_mv*(inst_max_used/(inst_R_calcs*inst_N*cell_max_cap*cell_max_factor))/(inst_max_used/inst_value_e_calcs))</f>
        <v>#DIV/0!</v>
      </c>
      <c r="J125" s="118"/>
      <c r="K125" s="37"/>
      <c r="L125" s="143"/>
      <c r="S125" t="e">
        <f t="shared" si="6"/>
        <v>#DIV/0!</v>
      </c>
      <c r="T125">
        <f t="shared" si="5"/>
        <v>0</v>
      </c>
    </row>
    <row r="126" spans="1:20">
      <c r="A126" s="143"/>
      <c r="B126" s="36"/>
      <c r="C126" s="3"/>
      <c r="D126" s="3"/>
      <c r="E126" s="3"/>
      <c r="F126" s="3"/>
      <c r="G126" s="3"/>
      <c r="H126" s="3"/>
      <c r="I126" s="3"/>
      <c r="J126" s="3"/>
      <c r="K126" s="37"/>
      <c r="L126" s="143"/>
      <c r="S126" t="e">
        <f t="shared" si="6"/>
        <v>#VALUE!</v>
      </c>
      <c r="T126">
        <f t="shared" si="5"/>
        <v>0</v>
      </c>
    </row>
    <row r="127" spans="1:20">
      <c r="A127" s="143"/>
      <c r="B127" s="36"/>
      <c r="C127" s="109"/>
      <c r="D127" s="110"/>
      <c r="E127" s="110"/>
      <c r="F127" s="110"/>
      <c r="G127" s="110"/>
      <c r="H127" s="110"/>
      <c r="I127" s="110"/>
      <c r="J127" s="111"/>
      <c r="K127" s="37"/>
      <c r="L127" s="143"/>
      <c r="S127" t="e">
        <f t="shared" si="6"/>
        <v>#VALUE!</v>
      </c>
      <c r="T127">
        <f t="shared" si="5"/>
        <v>0</v>
      </c>
    </row>
    <row r="128" spans="1:20" ht="13">
      <c r="A128" s="143"/>
      <c r="B128" s="36"/>
      <c r="C128" s="112"/>
      <c r="D128" s="131">
        <v>6.6</v>
      </c>
      <c r="E128" s="130" t="s">
        <v>120</v>
      </c>
      <c r="F128" s="25"/>
      <c r="G128" s="25"/>
      <c r="H128" s="25"/>
      <c r="I128" s="25"/>
      <c r="J128" s="115"/>
      <c r="K128" s="37"/>
      <c r="L128" s="143"/>
      <c r="S128" t="e">
        <f t="shared" si="6"/>
        <v>#VALUE!</v>
      </c>
      <c r="T128">
        <f t="shared" si="5"/>
        <v>0</v>
      </c>
    </row>
    <row r="129" spans="1:20">
      <c r="A129" s="143"/>
      <c r="B129" s="36"/>
      <c r="C129" s="112"/>
      <c r="D129" s="25"/>
      <c r="E129" s="25"/>
      <c r="F129" s="25"/>
      <c r="G129" s="25"/>
      <c r="H129" s="25"/>
      <c r="I129" s="25"/>
      <c r="J129" s="115"/>
      <c r="K129" s="37"/>
      <c r="L129" s="143"/>
      <c r="S129" t="e">
        <f t="shared" si="6"/>
        <v>#VALUE!</v>
      </c>
      <c r="T129">
        <f t="shared" si="5"/>
        <v>0</v>
      </c>
    </row>
    <row r="130" spans="1:20">
      <c r="A130" s="143"/>
      <c r="B130" s="36"/>
      <c r="C130" s="112"/>
      <c r="D130" s="25"/>
      <c r="E130" s="146" t="s">
        <v>188</v>
      </c>
      <c r="F130" s="25"/>
      <c r="G130" s="25"/>
      <c r="H130" s="25"/>
      <c r="I130" s="25"/>
      <c r="J130" s="115"/>
      <c r="K130" s="37"/>
      <c r="L130" s="143"/>
      <c r="S130" t="e">
        <f t="shared" si="6"/>
        <v>#VALUE!</v>
      </c>
      <c r="T130">
        <f t="shared" si="5"/>
        <v>0</v>
      </c>
    </row>
    <row r="131" spans="1:20">
      <c r="A131" s="143"/>
      <c r="B131" s="36"/>
      <c r="C131" s="112"/>
      <c r="D131" s="25"/>
      <c r="E131" s="25"/>
      <c r="F131" s="25"/>
      <c r="G131" s="25"/>
      <c r="H131" s="25"/>
      <c r="I131" s="25"/>
      <c r="J131" s="115"/>
      <c r="K131" s="37"/>
      <c r="L131" s="143"/>
      <c r="S131" t="e">
        <f t="shared" si="6"/>
        <v>#VALUE!</v>
      </c>
      <c r="T131">
        <f t="shared" si="5"/>
        <v>0</v>
      </c>
    </row>
    <row r="132" spans="1:20">
      <c r="A132" s="143"/>
      <c r="B132" s="36"/>
      <c r="C132" s="112"/>
      <c r="D132" s="25"/>
      <c r="E132" s="25" t="s">
        <v>85</v>
      </c>
      <c r="F132" s="25"/>
      <c r="G132" s="25"/>
      <c r="H132" s="25"/>
      <c r="I132" s="129" t="e">
        <f>IF(output_type=2,"N/A",IF(cell_imped &gt;=(ind_Vexc*inst_N) / (ind_max_I*0.001),"ACCEPTABLE","NOT ACCEPTABLE"))</f>
        <v>#DIV/0!</v>
      </c>
      <c r="J132" s="115"/>
      <c r="K132" s="37"/>
      <c r="L132" s="143"/>
      <c r="S132" t="e">
        <f t="shared" si="6"/>
        <v>#DIV/0!</v>
      </c>
      <c r="T132">
        <f t="shared" si="5"/>
        <v>0</v>
      </c>
    </row>
    <row r="133" spans="1:20" ht="13">
      <c r="A133" s="143"/>
      <c r="B133" s="36"/>
      <c r="C133" s="116"/>
      <c r="D133" s="117"/>
      <c r="E133" s="117"/>
      <c r="F133" s="117"/>
      <c r="G133" s="117"/>
      <c r="H133" s="117"/>
      <c r="I133" s="117"/>
      <c r="J133" s="118"/>
      <c r="K133" s="37"/>
      <c r="L133" s="143"/>
      <c r="O133" s="147" t="e">
        <f>IF(I132="N/A",2,IF(I132="ACCEPTABLE",1,0))</f>
        <v>#DIV/0!</v>
      </c>
      <c r="Q133" s="160" t="e">
        <f>IF(O133=2,"N/A",IF(O133=1,"ACCEPTABLE","NOT ACCEPTABLE"))</f>
        <v>#DIV/0!</v>
      </c>
      <c r="S133" t="e">
        <f t="shared" si="6"/>
        <v>#VALUE!</v>
      </c>
      <c r="T133">
        <f t="shared" si="5"/>
        <v>0</v>
      </c>
    </row>
    <row r="134" spans="1:20">
      <c r="A134" s="143"/>
      <c r="B134" s="36"/>
      <c r="C134" s="3"/>
      <c r="D134" s="3"/>
      <c r="E134" s="3"/>
      <c r="F134" s="3"/>
      <c r="G134" s="3"/>
      <c r="H134" s="3"/>
      <c r="I134" s="3"/>
      <c r="J134" s="3"/>
      <c r="K134" s="37"/>
      <c r="L134" s="143"/>
      <c r="S134" t="e">
        <f t="shared" si="6"/>
        <v>#VALUE!</v>
      </c>
      <c r="T134">
        <f t="shared" si="5"/>
        <v>0</v>
      </c>
    </row>
    <row r="135" spans="1:20" ht="15.5">
      <c r="A135" s="143"/>
      <c r="B135" s="36"/>
      <c r="C135" s="109"/>
      <c r="D135" s="110"/>
      <c r="E135" s="119" t="s">
        <v>121</v>
      </c>
      <c r="F135" s="110"/>
      <c r="G135" s="110"/>
      <c r="H135" s="110"/>
      <c r="I135" s="220" t="str">
        <f>IF(T138=0,"ACCEPTABLE","NOT ACCEPTABLE")</f>
        <v>NOT ACCEPTABLE</v>
      </c>
      <c r="J135" s="111"/>
      <c r="K135" s="37"/>
      <c r="L135" s="143"/>
      <c r="S135" t="e">
        <f>FIND("NOT",#REF!,1)</f>
        <v>#REF!</v>
      </c>
      <c r="T135">
        <f t="shared" si="5"/>
        <v>0</v>
      </c>
    </row>
    <row r="136" spans="1:20">
      <c r="A136" s="143"/>
      <c r="B136" s="36"/>
      <c r="C136" s="112"/>
      <c r="D136" s="25"/>
      <c r="E136" s="25"/>
      <c r="F136" s="25"/>
      <c r="G136" s="25"/>
      <c r="H136" s="25"/>
      <c r="I136" s="25"/>
      <c r="J136" s="115"/>
      <c r="K136" s="37"/>
      <c r="L136" s="143"/>
      <c r="S136" t="e">
        <f t="shared" si="6"/>
        <v>#VALUE!</v>
      </c>
      <c r="T136">
        <f t="shared" si="5"/>
        <v>0</v>
      </c>
    </row>
    <row r="137" spans="1:20">
      <c r="A137" s="143"/>
      <c r="B137" s="36"/>
      <c r="C137" s="112"/>
      <c r="D137" s="276" t="s">
        <v>198</v>
      </c>
      <c r="E137" s="190"/>
      <c r="F137" s="25"/>
      <c r="G137" s="25"/>
      <c r="H137" s="25"/>
      <c r="I137" s="190"/>
      <c r="J137" s="115"/>
      <c r="K137" s="37"/>
      <c r="L137" s="143"/>
    </row>
    <row r="138" spans="1:20" ht="13">
      <c r="A138" s="143"/>
      <c r="B138" s="36"/>
      <c r="C138" s="112"/>
      <c r="D138" s="286" t="str">
        <f>IF(Lookup!$F$3=1,"",IF(Lookup!$F$3=2,"Note: Replacement of load cells is generally only acceptable under 6B/0 if the converter has a Certificate of Approval to manufacture",IF(Lookup!$F$3=3,"","Note: Replacement of load cells is generally only acceptable under 6B/0 if the converter has a certificate to manufacture")))</f>
        <v/>
      </c>
      <c r="E138" s="190"/>
      <c r="F138" s="25"/>
      <c r="G138" s="25"/>
      <c r="H138" s="25"/>
      <c r="I138" s="25"/>
      <c r="J138" s="115"/>
      <c r="K138" s="37"/>
      <c r="L138" s="143"/>
      <c r="O138" s="147" t="e">
        <f>SUM(O9:O11,O16,O20,O34,O42,O48,O54,O72,O74,O76,O87,O89,O91,O100,O108,O116,O124,O133)</f>
        <v>#DIV/0!</v>
      </c>
      <c r="P138" s="147" t="s">
        <v>122</v>
      </c>
      <c r="T138">
        <f>SUM(T8:T136)</f>
        <v>1</v>
      </c>
    </row>
    <row r="139" spans="1:20">
      <c r="A139" s="143"/>
      <c r="B139" s="36"/>
      <c r="C139" s="116"/>
      <c r="D139" s="287" t="str">
        <f>IF(Lookup!$F$3=1,"",IF(Lookup!$F$3=2,"          (i.e. the instrument is considered to be a new instrument), or if the situation is a lever/load cell conversion.",IF(Lookup!$F$3=3,"","          (i.e. the instrument is considered to be a new instrument), or if the situation is a lever/load cell conversion.")))</f>
        <v/>
      </c>
      <c r="E139" s="117"/>
      <c r="F139" s="117"/>
      <c r="G139" s="117"/>
      <c r="H139" s="117"/>
      <c r="I139" s="117"/>
      <c r="J139" s="118"/>
      <c r="K139" s="37"/>
      <c r="L139" s="143"/>
    </row>
    <row r="140" spans="1:20">
      <c r="A140" s="143"/>
      <c r="B140" s="41"/>
      <c r="C140" s="42"/>
      <c r="D140" s="42"/>
      <c r="E140" s="42"/>
      <c r="F140" s="42"/>
      <c r="G140" s="42"/>
      <c r="H140" s="42"/>
      <c r="I140" s="42"/>
      <c r="J140" s="42"/>
      <c r="K140" s="45"/>
      <c r="L140" s="143"/>
    </row>
    <row r="141" spans="1:20">
      <c r="A141" s="143"/>
      <c r="B141" s="143"/>
      <c r="C141" s="143"/>
      <c r="D141" s="143"/>
      <c r="E141" s="143"/>
      <c r="F141" s="143"/>
      <c r="G141" s="143"/>
      <c r="H141" s="143"/>
      <c r="I141" s="143"/>
      <c r="J141" s="143"/>
      <c r="K141" s="143"/>
      <c r="L141" s="143"/>
    </row>
    <row r="142" spans="1:20">
      <c r="A142" s="289"/>
      <c r="B142" s="289"/>
      <c r="C142" s="289"/>
      <c r="D142" s="289"/>
      <c r="E142" s="289"/>
      <c r="F142" s="289"/>
      <c r="G142" s="289"/>
      <c r="H142" s="289"/>
      <c r="I142" s="289"/>
      <c r="J142" s="289"/>
      <c r="K142" s="289"/>
      <c r="L142" s="289"/>
    </row>
    <row r="143" spans="1:20">
      <c r="A143" s="289"/>
      <c r="B143" s="289"/>
      <c r="C143" s="289"/>
      <c r="D143" s="289"/>
      <c r="E143" s="289"/>
      <c r="F143" s="289"/>
      <c r="G143" s="289"/>
      <c r="H143" s="289"/>
      <c r="I143" s="289"/>
      <c r="J143" s="289"/>
      <c r="K143" s="289"/>
      <c r="L143" s="289"/>
    </row>
    <row r="144" spans="1:20" ht="359.25" customHeight="1">
      <c r="A144" s="289"/>
      <c r="B144" s="289"/>
      <c r="C144" s="289"/>
      <c r="D144" s="289"/>
      <c r="E144" s="289"/>
      <c r="F144" s="289"/>
      <c r="G144" s="289"/>
      <c r="H144" s="289"/>
      <c r="I144" s="289"/>
      <c r="J144" s="289"/>
      <c r="K144" s="289"/>
      <c r="L144" s="289"/>
    </row>
  </sheetData>
  <sheetProtection password="CC40" sheet="1"/>
  <mergeCells count="1">
    <mergeCell ref="B1:K1"/>
  </mergeCells>
  <phoneticPr fontId="0" type="noConversion"/>
  <conditionalFormatting sqref="I135">
    <cfRule type="expression" dxfId="4" priority="1" stopIfTrue="1">
      <formula>$I$135="NOT ACCEPTABLE"</formula>
    </cfRule>
  </conditionalFormatting>
  <pageMargins left="0.35433070866141736" right="0.31496062992125984" top="0.32" bottom="0.44" header="0.2" footer="0.2"/>
  <pageSetup scale="95" orientation="portrait" blackAndWhite="1" r:id="rId1"/>
  <headerFooter alignWithMargins="0">
    <oddFooter>&amp;CPage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99"/>
  <sheetViews>
    <sheetView showGridLines="0" workbookViewId="0">
      <selection activeCell="E54" sqref="E54"/>
    </sheetView>
  </sheetViews>
  <sheetFormatPr defaultRowHeight="12.5"/>
  <cols>
    <col min="1" max="1" width="0.90625" customWidth="1"/>
    <col min="4" max="4" width="25.54296875" customWidth="1"/>
    <col min="5" max="5" width="54.453125" customWidth="1"/>
    <col min="6" max="6" width="59.6328125" customWidth="1"/>
    <col min="8" max="8" width="3.36328125" customWidth="1"/>
    <col min="9" max="9" width="11" customWidth="1"/>
    <col min="10" max="10" width="10.6328125" customWidth="1"/>
  </cols>
  <sheetData>
    <row r="1" spans="1:10" ht="13">
      <c r="B1" s="209"/>
      <c r="C1" s="167"/>
      <c r="D1" s="167"/>
      <c r="E1" s="237" t="str">
        <f>ver</f>
        <v>Ver 21</v>
      </c>
      <c r="F1" s="164"/>
      <c r="G1" s="164"/>
      <c r="H1" s="164"/>
      <c r="I1" s="164"/>
      <c r="J1" s="164"/>
    </row>
    <row r="2" spans="1:10" ht="20">
      <c r="A2" s="157" t="s">
        <v>123</v>
      </c>
      <c r="B2" s="166"/>
      <c r="C2" s="166"/>
      <c r="D2" s="166"/>
      <c r="E2" s="166"/>
      <c r="F2" s="164"/>
      <c r="G2" s="164"/>
      <c r="H2" s="164"/>
      <c r="I2" s="164"/>
      <c r="J2" s="164"/>
    </row>
    <row r="3" spans="1:10" ht="13">
      <c r="A3" s="95"/>
      <c r="B3" s="209" t="str">
        <f>IF(Lookup!$H$9&lt;&gt;1,"VOID, VOID, VOID, VOID, VOID, VOID, VOID, VOID, VOID, VOID, VOID, VOID","")</f>
        <v/>
      </c>
      <c r="C3" s="167"/>
      <c r="D3" s="167"/>
      <c r="E3" s="167"/>
      <c r="F3" s="164"/>
      <c r="G3" s="164"/>
      <c r="H3" s="164"/>
      <c r="I3" s="164"/>
      <c r="J3" s="164"/>
    </row>
    <row r="4" spans="1:10" ht="13">
      <c r="B4" s="164"/>
      <c r="C4" s="164"/>
      <c r="D4" s="273" t="s">
        <v>255</v>
      </c>
      <c r="E4" s="183">
        <f>inst_report_no</f>
        <v>0</v>
      </c>
      <c r="F4" s="164"/>
      <c r="G4" s="164"/>
      <c r="H4" s="164"/>
      <c r="I4" s="164"/>
      <c r="J4" s="164"/>
    </row>
    <row r="5" spans="1:10" ht="13">
      <c r="B5" s="164"/>
      <c r="C5" s="164"/>
      <c r="D5" s="273" t="s">
        <v>257</v>
      </c>
      <c r="E5" s="183">
        <f>D57</f>
        <v>0</v>
      </c>
      <c r="F5" s="164"/>
      <c r="G5" s="164"/>
      <c r="H5" s="164"/>
      <c r="I5" s="164"/>
      <c r="J5" s="164"/>
    </row>
    <row r="6" spans="1:10" ht="13">
      <c r="B6" s="164"/>
      <c r="C6" s="164"/>
      <c r="D6" s="273" t="s">
        <v>251</v>
      </c>
      <c r="E6" s="183" t="str">
        <f>IF(ISBLANK(inst_conv_no),"",inst_conv_no)</f>
        <v/>
      </c>
      <c r="F6" s="164"/>
      <c r="G6" s="164"/>
      <c r="H6" s="164"/>
      <c r="I6" s="164"/>
      <c r="J6" s="164"/>
    </row>
    <row r="7" spans="1:10" ht="13">
      <c r="B7" s="209"/>
      <c r="C7" s="167"/>
      <c r="D7" s="167"/>
      <c r="E7" s="208"/>
      <c r="F7" s="164"/>
      <c r="G7" s="164"/>
      <c r="H7" s="164"/>
      <c r="I7" s="164"/>
      <c r="J7" s="164"/>
    </row>
    <row r="8" spans="1:10">
      <c r="B8" s="169" t="s">
        <v>125</v>
      </c>
      <c r="C8" s="170"/>
      <c r="D8" s="170"/>
      <c r="E8" s="171"/>
      <c r="F8" s="164"/>
      <c r="G8" s="164"/>
      <c r="H8" s="164"/>
      <c r="I8" s="164"/>
      <c r="J8" s="164"/>
    </row>
    <row r="9" spans="1:10" ht="13">
      <c r="B9" s="172"/>
      <c r="C9" s="97"/>
      <c r="D9" s="158" t="s">
        <v>252</v>
      </c>
      <c r="E9" s="178">
        <f>inst_inst_no</f>
        <v>0</v>
      </c>
      <c r="F9" s="164"/>
      <c r="G9" s="164"/>
      <c r="H9" s="164"/>
      <c r="I9" s="164"/>
      <c r="J9" s="164"/>
    </row>
    <row r="10" spans="1:10" ht="13">
      <c r="B10" s="172"/>
      <c r="C10" s="97"/>
      <c r="D10" s="173" t="s">
        <v>258</v>
      </c>
      <c r="E10" s="175">
        <f>inst_model</f>
        <v>0</v>
      </c>
      <c r="F10" s="164"/>
      <c r="G10" s="164"/>
      <c r="H10" s="164"/>
      <c r="I10" s="164"/>
      <c r="J10" s="164"/>
    </row>
    <row r="11" spans="1:10" ht="13">
      <c r="B11" s="172"/>
      <c r="C11" s="97"/>
      <c r="D11" s="176" t="s">
        <v>127</v>
      </c>
      <c r="E11" s="274" t="str">
        <f>inst_operation</f>
        <v>Manufacture of new instrument</v>
      </c>
      <c r="F11" s="164"/>
      <c r="G11" s="164"/>
      <c r="H11" s="164"/>
      <c r="I11" s="164"/>
      <c r="J11" s="164"/>
    </row>
    <row r="12" spans="1:10" ht="13">
      <c r="B12" s="172"/>
      <c r="C12" s="97"/>
      <c r="D12" s="173" t="s">
        <v>9</v>
      </c>
      <c r="E12" s="174" t="str">
        <f>inst_cap_type</f>
        <v>Single range</v>
      </c>
      <c r="F12" s="164"/>
      <c r="G12" s="164"/>
      <c r="H12" s="164"/>
      <c r="I12" s="164"/>
      <c r="J12" s="164"/>
    </row>
    <row r="13" spans="1:10" ht="13">
      <c r="B13" s="172"/>
      <c r="C13" s="97"/>
      <c r="D13" s="176" t="s">
        <v>128</v>
      </c>
      <c r="E13" s="174" t="str">
        <f>inst_inst_type</f>
        <v>Full load cell</v>
      </c>
      <c r="F13" s="164"/>
      <c r="G13" s="164"/>
      <c r="H13" s="164"/>
      <c r="I13" s="164"/>
      <c r="J13" s="164"/>
    </row>
    <row r="14" spans="1:10" ht="13">
      <c r="B14" s="172"/>
      <c r="C14" s="97"/>
      <c r="D14" s="176" t="s">
        <v>129</v>
      </c>
      <c r="E14" s="177" t="str">
        <f>inst_recep_type</f>
        <v>Platform</v>
      </c>
      <c r="F14" s="164"/>
      <c r="G14" s="164"/>
      <c r="H14" s="164"/>
      <c r="I14" s="164"/>
      <c r="J14" s="164"/>
    </row>
    <row r="15" spans="1:10" ht="13">
      <c r="B15" s="172"/>
      <c r="C15" s="97"/>
      <c r="D15" s="173" t="s">
        <v>130</v>
      </c>
      <c r="E15" s="178">
        <f>inst_max_used</f>
        <v>0</v>
      </c>
      <c r="F15" s="164"/>
      <c r="G15" s="164"/>
      <c r="H15" s="164"/>
      <c r="I15" s="164"/>
      <c r="J15" s="164"/>
    </row>
    <row r="16" spans="1:10" ht="13">
      <c r="B16" s="172"/>
      <c r="C16" s="97"/>
      <c r="D16" s="158" t="s">
        <v>250</v>
      </c>
      <c r="E16" s="178">
        <f>inst_value_e_calcs</f>
        <v>0</v>
      </c>
      <c r="F16" s="164"/>
      <c r="G16" s="164"/>
      <c r="H16" s="164"/>
      <c r="I16" s="164"/>
      <c r="J16" s="164"/>
    </row>
    <row r="17" spans="2:10" ht="13">
      <c r="B17" s="172"/>
      <c r="C17" s="97"/>
      <c r="D17" s="173" t="s">
        <v>227</v>
      </c>
      <c r="E17" s="178">
        <f>IF(Lookup!G25=1,inst_platform_L,"N/A")</f>
        <v>0</v>
      </c>
      <c r="F17" s="164"/>
      <c r="G17" s="164"/>
      <c r="H17" s="164"/>
      <c r="I17" s="164"/>
      <c r="J17" s="164"/>
    </row>
    <row r="18" spans="2:10" ht="13">
      <c r="B18" s="172"/>
      <c r="C18" s="97"/>
      <c r="D18" s="173" t="s">
        <v>132</v>
      </c>
      <c r="E18" s="178">
        <f>IF(Lookup!G25=1,inst_platform_W,"N/A")</f>
        <v>0</v>
      </c>
      <c r="F18" s="164"/>
      <c r="G18" s="164"/>
      <c r="H18" s="164"/>
      <c r="I18" s="164"/>
      <c r="J18" s="164"/>
    </row>
    <row r="19" spans="2:10" ht="13">
      <c r="B19" s="172"/>
      <c r="C19" s="97"/>
      <c r="D19" s="158" t="s">
        <v>249</v>
      </c>
      <c r="E19" s="178">
        <f>inst_dl</f>
        <v>0</v>
      </c>
      <c r="F19" s="164"/>
      <c r="G19" s="164"/>
      <c r="H19" s="164"/>
      <c r="I19" s="164"/>
      <c r="J19" s="164"/>
    </row>
    <row r="20" spans="2:10" ht="13">
      <c r="B20" s="172"/>
      <c r="C20" s="97"/>
      <c r="D20" s="173" t="s">
        <v>228</v>
      </c>
      <c r="E20" s="178">
        <f>inst_N</f>
        <v>0</v>
      </c>
      <c r="F20" s="164"/>
      <c r="G20" s="164"/>
      <c r="H20" s="164"/>
      <c r="I20" s="164"/>
      <c r="J20" s="164"/>
    </row>
    <row r="21" spans="2:10" ht="13">
      <c r="B21" s="179"/>
      <c r="C21" s="180"/>
      <c r="D21" s="181" t="s">
        <v>229</v>
      </c>
      <c r="E21" s="182" t="str">
        <f>IF(Lookup!H3=2,inst_R,"n/a")</f>
        <v>n/a</v>
      </c>
      <c r="F21" s="164"/>
      <c r="G21" s="164"/>
      <c r="H21" s="164"/>
      <c r="I21" s="164"/>
      <c r="J21" s="164"/>
    </row>
    <row r="22" spans="2:10" ht="6" customHeight="1">
      <c r="B22" s="209"/>
      <c r="C22" s="167"/>
      <c r="D22" s="167"/>
      <c r="E22" s="208"/>
      <c r="F22" s="164"/>
      <c r="G22" s="164"/>
      <c r="H22" s="164"/>
      <c r="I22" s="164"/>
      <c r="J22" s="164"/>
    </row>
    <row r="23" spans="2:10">
      <c r="B23" s="184" t="s">
        <v>21</v>
      </c>
      <c r="C23" s="170"/>
      <c r="D23" s="170"/>
      <c r="E23" s="171"/>
      <c r="F23" s="164"/>
      <c r="G23" s="164"/>
      <c r="H23" s="164"/>
      <c r="I23" s="164"/>
      <c r="J23" s="164"/>
    </row>
    <row r="24" spans="2:10">
      <c r="B24" s="172"/>
      <c r="C24" s="97"/>
      <c r="D24" s="193" t="str">
        <f>"Maximum capacity ("&amp;'Instrument specs'!$H$34&amp;")"</f>
        <v>Maximum capacity (kg)</v>
      </c>
      <c r="E24" s="258" t="str">
        <f>"e ("&amp;'Instrument specs'!$M$34&amp;")"</f>
        <v>e (kg)</v>
      </c>
      <c r="F24" s="164"/>
      <c r="G24" s="164"/>
      <c r="H24" s="164"/>
      <c r="I24" s="164"/>
      <c r="J24" s="164"/>
    </row>
    <row r="25" spans="2:10" ht="13">
      <c r="B25" s="179"/>
      <c r="C25" s="180"/>
      <c r="D25" s="198">
        <f>inst_sing_max</f>
        <v>0</v>
      </c>
      <c r="E25" s="182">
        <f>inst_sing_e</f>
        <v>0</v>
      </c>
      <c r="F25" s="164"/>
      <c r="G25" s="164"/>
      <c r="H25" s="164"/>
      <c r="I25" s="164"/>
      <c r="J25" s="164"/>
    </row>
    <row r="26" spans="2:10" ht="6" customHeight="1">
      <c r="B26" s="209"/>
      <c r="C26" s="167"/>
      <c r="D26" s="167"/>
      <c r="E26" s="208"/>
      <c r="F26" s="164"/>
      <c r="G26" s="164"/>
      <c r="H26" s="164"/>
      <c r="I26" s="164"/>
      <c r="J26" s="164"/>
    </row>
    <row r="27" spans="2:10">
      <c r="B27" s="184" t="s">
        <v>135</v>
      </c>
      <c r="C27" s="170"/>
      <c r="D27" s="170"/>
      <c r="E27" s="171"/>
      <c r="F27" s="164"/>
      <c r="G27" s="164"/>
      <c r="H27" s="164"/>
      <c r="I27" s="164"/>
      <c r="J27" s="164"/>
    </row>
    <row r="28" spans="2:10" ht="13">
      <c r="B28" s="172"/>
      <c r="C28" s="97"/>
      <c r="D28" s="158" t="s">
        <v>269</v>
      </c>
      <c r="E28" s="178">
        <f>cell_S_No.</f>
        <v>0</v>
      </c>
      <c r="F28" s="164"/>
      <c r="G28" s="164"/>
      <c r="H28" s="164"/>
      <c r="I28" s="164"/>
      <c r="J28" s="164"/>
    </row>
    <row r="29" spans="2:10" ht="13">
      <c r="B29" s="172"/>
      <c r="C29" s="97"/>
      <c r="D29" s="173" t="s">
        <v>5</v>
      </c>
      <c r="E29" s="178">
        <f>cell_make</f>
        <v>0</v>
      </c>
      <c r="F29" s="164"/>
      <c r="G29" s="164"/>
      <c r="H29" s="164"/>
      <c r="I29" s="164"/>
      <c r="J29" s="164"/>
    </row>
    <row r="30" spans="2:10" ht="13">
      <c r="B30" s="172"/>
      <c r="C30" s="97"/>
      <c r="D30" s="173" t="s">
        <v>6</v>
      </c>
      <c r="E30" s="178">
        <f>cell_model</f>
        <v>0</v>
      </c>
      <c r="F30" s="164"/>
      <c r="G30" s="164"/>
      <c r="H30" s="164"/>
      <c r="I30" s="164"/>
      <c r="J30" s="164"/>
    </row>
    <row r="31" spans="2:10" ht="13">
      <c r="B31" s="179"/>
      <c r="C31" s="180"/>
      <c r="D31" s="181" t="s">
        <v>136</v>
      </c>
      <c r="E31" s="182">
        <f>cell_max_cap*cell_max_factor</f>
        <v>0</v>
      </c>
      <c r="F31" s="164"/>
      <c r="G31" s="164"/>
      <c r="H31" s="164"/>
      <c r="I31" s="164"/>
      <c r="J31" s="164"/>
    </row>
    <row r="32" spans="2:10" ht="6" customHeight="1">
      <c r="B32" s="209"/>
      <c r="C32" s="167"/>
      <c r="D32" s="167"/>
      <c r="E32" s="167"/>
      <c r="F32" s="164"/>
      <c r="G32" s="164"/>
      <c r="H32" s="164"/>
      <c r="I32" s="164"/>
      <c r="J32" s="164"/>
    </row>
    <row r="33" spans="2:10">
      <c r="B33" s="184" t="s">
        <v>137</v>
      </c>
      <c r="C33" s="170"/>
      <c r="D33" s="170"/>
      <c r="E33" s="171"/>
      <c r="F33" s="164"/>
      <c r="G33" s="164"/>
      <c r="H33" s="164"/>
      <c r="I33" s="164"/>
      <c r="J33" s="164"/>
    </row>
    <row r="34" spans="2:10" ht="13">
      <c r="B34" s="172"/>
      <c r="C34" s="97"/>
      <c r="D34" s="158" t="s">
        <v>269</v>
      </c>
      <c r="E34" s="178">
        <f>ind_S_No.</f>
        <v>0</v>
      </c>
      <c r="F34" s="164"/>
      <c r="G34" s="164"/>
      <c r="H34" s="164"/>
      <c r="I34" s="164"/>
      <c r="J34" s="164"/>
    </row>
    <row r="35" spans="2:10" ht="13">
      <c r="B35" s="172"/>
      <c r="C35" s="97"/>
      <c r="D35" s="173" t="s">
        <v>5</v>
      </c>
      <c r="E35" s="178">
        <f>ind_make</f>
        <v>0</v>
      </c>
      <c r="F35" s="164"/>
      <c r="G35" s="164"/>
      <c r="H35" s="164"/>
      <c r="I35" s="164"/>
      <c r="J35" s="164"/>
    </row>
    <row r="36" spans="2:10" ht="13">
      <c r="B36" s="179"/>
      <c r="C36" s="180"/>
      <c r="D36" s="181" t="s">
        <v>6</v>
      </c>
      <c r="E36" s="182">
        <f>ind_model</f>
        <v>0</v>
      </c>
      <c r="F36" s="164"/>
      <c r="G36" s="164"/>
      <c r="H36" s="164"/>
      <c r="I36" s="164"/>
      <c r="J36" s="164"/>
    </row>
    <row r="37" spans="2:10" ht="6" customHeight="1">
      <c r="C37" s="167"/>
      <c r="D37" s="167"/>
      <c r="E37" s="167"/>
      <c r="F37" s="164"/>
      <c r="G37" s="164"/>
      <c r="H37" s="164"/>
      <c r="I37" s="164"/>
      <c r="J37" s="164"/>
    </row>
    <row r="38" spans="2:10">
      <c r="B38" s="185" t="s">
        <v>138</v>
      </c>
      <c r="C38" s="170"/>
      <c r="D38" s="170"/>
      <c r="E38" s="171"/>
      <c r="F38" s="164"/>
      <c r="G38" s="164"/>
      <c r="H38" s="164"/>
      <c r="I38" s="164"/>
      <c r="J38" s="164"/>
    </row>
    <row r="39" spans="2:10" ht="13">
      <c r="B39" s="172"/>
      <c r="C39" s="97"/>
      <c r="D39" s="97"/>
      <c r="E39" s="233" t="str">
        <f ca="1">IF(AND('Instrument specs'!$N$7&lt;&gt;"",'Instrument specs'!$N$7&lt;&gt;TODAY()),"Note: Date for checking certificate expiry different from today","")</f>
        <v/>
      </c>
      <c r="F39" s="164"/>
      <c r="G39" s="164"/>
      <c r="H39" s="164"/>
      <c r="I39" s="164"/>
      <c r="J39" s="164"/>
    </row>
    <row r="40" spans="2:10" ht="13">
      <c r="B40" s="172"/>
      <c r="C40" s="97"/>
      <c r="D40" s="158" t="s">
        <v>139</v>
      </c>
      <c r="E40" s="186" t="str">
        <f>'6B0 Analysis'!Q11</f>
        <v>NOT ACCEPTABLE</v>
      </c>
      <c r="F40" s="164"/>
      <c r="G40" s="164"/>
      <c r="H40" s="164"/>
      <c r="I40" s="164"/>
      <c r="J40" s="164"/>
    </row>
    <row r="41" spans="2:10" ht="13">
      <c r="B41" s="172"/>
      <c r="C41" s="97"/>
      <c r="D41" s="158" t="s">
        <v>140</v>
      </c>
      <c r="E41" s="186" t="str">
        <f>'6B0 Analysis'!Q16</f>
        <v>ACCEPTABLE</v>
      </c>
      <c r="F41" s="164"/>
      <c r="G41" s="164"/>
      <c r="H41" s="164"/>
      <c r="I41" s="164"/>
      <c r="J41" s="164"/>
    </row>
    <row r="42" spans="2:10" ht="13">
      <c r="B42" s="172"/>
      <c r="C42" s="97"/>
      <c r="D42" s="158" t="s">
        <v>141</v>
      </c>
      <c r="E42" s="186" t="str">
        <f>'6B0 Analysis'!Q20</f>
        <v>ACCEPTABLE</v>
      </c>
      <c r="F42" s="164"/>
      <c r="G42" s="164"/>
      <c r="H42" s="164"/>
      <c r="I42" s="164"/>
      <c r="J42" s="164"/>
    </row>
    <row r="43" spans="2:10" ht="13">
      <c r="B43" s="172"/>
      <c r="C43" s="97"/>
      <c r="D43" s="158" t="s">
        <v>15</v>
      </c>
      <c r="E43" s="186" t="e">
        <f>'6B0 Analysis'!Q34</f>
        <v>#DIV/0!</v>
      </c>
      <c r="F43" s="164"/>
      <c r="G43" s="164"/>
      <c r="H43" s="164"/>
      <c r="I43" s="164"/>
      <c r="J43" s="164"/>
    </row>
    <row r="44" spans="2:10" ht="13">
      <c r="B44" s="172"/>
      <c r="C44" s="97"/>
      <c r="D44" s="158" t="s">
        <v>248</v>
      </c>
      <c r="E44" s="186" t="e">
        <f>'6B0 Analysis'!Q54</f>
        <v>#DIV/0!</v>
      </c>
      <c r="F44" s="164"/>
      <c r="G44" s="164"/>
      <c r="H44" s="164"/>
      <c r="I44" s="164"/>
      <c r="J44" s="164"/>
    </row>
    <row r="45" spans="2:10" ht="13">
      <c r="B45" s="172"/>
      <c r="C45" s="97"/>
      <c r="D45" s="173" t="s">
        <v>143</v>
      </c>
      <c r="E45" s="186" t="str">
        <f>'6B0 Analysis'!Q96</f>
        <v>NOT ACCEPTABLE</v>
      </c>
      <c r="F45" s="164"/>
      <c r="G45" s="164"/>
      <c r="H45" s="164"/>
      <c r="I45" s="164"/>
      <c r="J45" s="164"/>
    </row>
    <row r="46" spans="2:10">
      <c r="B46" s="172"/>
      <c r="C46" s="97"/>
      <c r="E46" s="197"/>
      <c r="F46" s="164"/>
      <c r="G46" s="164"/>
      <c r="H46" s="164"/>
      <c r="I46" s="164"/>
      <c r="J46" s="164"/>
    </row>
    <row r="47" spans="2:10" ht="13">
      <c r="B47" s="172"/>
      <c r="C47" s="97"/>
      <c r="D47" s="158" t="s">
        <v>246</v>
      </c>
      <c r="E47" s="186" t="e">
        <f>'6B0 Analysis'!Q116</f>
        <v>#DIV/0!</v>
      </c>
      <c r="F47" s="164"/>
      <c r="G47" s="164"/>
      <c r="H47" s="164"/>
      <c r="I47" s="164"/>
      <c r="J47" s="164"/>
    </row>
    <row r="48" spans="2:10" ht="13">
      <c r="B48" s="172"/>
      <c r="C48" s="97"/>
      <c r="D48" s="173" t="s">
        <v>145</v>
      </c>
      <c r="E48" s="186" t="e">
        <f>'6B0 Analysis'!Q124</f>
        <v>#DIV/0!</v>
      </c>
      <c r="F48" s="164"/>
      <c r="G48" s="164"/>
      <c r="H48" s="164"/>
      <c r="I48" s="164"/>
      <c r="J48" s="164"/>
    </row>
    <row r="49" spans="2:10" ht="13">
      <c r="B49" s="172"/>
      <c r="C49" s="97"/>
      <c r="D49" s="173" t="s">
        <v>260</v>
      </c>
      <c r="E49" s="186" t="e">
        <f>'6B0 Analysis'!Q133</f>
        <v>#DIV/0!</v>
      </c>
      <c r="F49" s="164"/>
      <c r="G49" s="164"/>
      <c r="H49" s="164"/>
      <c r="I49" s="164"/>
      <c r="J49" s="164"/>
    </row>
    <row r="50" spans="2:10" ht="13">
      <c r="B50" s="179"/>
      <c r="C50" s="180"/>
      <c r="D50" s="181" t="s">
        <v>121</v>
      </c>
      <c r="E50" s="207" t="str">
        <f>'6B0 Analysis'!I135</f>
        <v>NOT ACCEPTABLE</v>
      </c>
      <c r="F50" s="164"/>
      <c r="G50" s="164"/>
      <c r="H50" s="164"/>
      <c r="I50" s="164"/>
      <c r="J50" s="164"/>
    </row>
    <row r="51" spans="2:10">
      <c r="B51" s="277" t="str">
        <f>'6B0 Analysis'!D137</f>
        <v>Note: 'Acceptable' is in regard to calculations included in this spreadsheet only. All requirements of 6B/0 need to be considered.</v>
      </c>
      <c r="C51" s="164"/>
      <c r="D51" s="164"/>
      <c r="E51" s="164"/>
      <c r="F51" s="164"/>
      <c r="G51" s="164"/>
      <c r="H51" s="164"/>
      <c r="I51" s="164"/>
      <c r="J51" s="164"/>
    </row>
    <row r="52" spans="2:10">
      <c r="B52" s="285" t="str">
        <f>'6B0 Analysis'!D138</f>
        <v/>
      </c>
      <c r="C52" s="167"/>
      <c r="D52" s="167"/>
      <c r="E52" s="167"/>
      <c r="F52" s="164"/>
      <c r="G52" s="164"/>
      <c r="H52" s="164"/>
      <c r="I52" s="164"/>
      <c r="J52" s="164"/>
    </row>
    <row r="53" spans="2:10">
      <c r="B53" s="285" t="str">
        <f>'6B0 Analysis'!D139</f>
        <v/>
      </c>
      <c r="C53" s="164"/>
      <c r="D53" s="164"/>
      <c r="E53" s="164"/>
      <c r="F53" s="164"/>
      <c r="G53" s="164"/>
      <c r="H53" s="164"/>
      <c r="I53" s="164"/>
      <c r="J53" s="164"/>
    </row>
    <row r="54" spans="2:10" ht="9" customHeight="1">
      <c r="B54" s="164"/>
      <c r="C54" s="164"/>
      <c r="D54" s="164"/>
      <c r="E54" s="164"/>
      <c r="F54" s="164"/>
      <c r="G54" s="164"/>
      <c r="H54" s="164"/>
      <c r="I54" s="164"/>
      <c r="J54" s="164"/>
    </row>
    <row r="55" spans="2:10">
      <c r="B55" s="164"/>
      <c r="C55" s="275" t="s">
        <v>211</v>
      </c>
      <c r="D55" s="187">
        <f>inst_submittor_name</f>
        <v>0</v>
      </c>
      <c r="E55" s="164"/>
      <c r="F55" s="164"/>
      <c r="G55" s="164"/>
      <c r="H55" s="164"/>
      <c r="I55" s="164"/>
      <c r="J55" s="164"/>
    </row>
    <row r="56" spans="2:10">
      <c r="B56" s="164"/>
      <c r="C56" s="2" t="s">
        <v>212</v>
      </c>
      <c r="D56" s="187">
        <f>inst_submittor_org</f>
        <v>0</v>
      </c>
      <c r="E56" s="164"/>
      <c r="F56" s="164"/>
      <c r="G56" s="164"/>
      <c r="H56" s="164"/>
      <c r="I56" s="164"/>
      <c r="J56" s="164"/>
    </row>
    <row r="57" spans="2:10">
      <c r="B57" s="164"/>
      <c r="C57" s="2" t="s">
        <v>213</v>
      </c>
      <c r="D57" s="187">
        <f>inst_submittor_pos</f>
        <v>0</v>
      </c>
      <c r="E57" s="164"/>
      <c r="F57" s="164"/>
      <c r="G57" s="164"/>
      <c r="H57" s="164"/>
      <c r="I57" s="164"/>
      <c r="J57" s="164"/>
    </row>
    <row r="58" spans="2:10" ht="13">
      <c r="B58" s="164"/>
      <c r="C58" s="272" t="s">
        <v>245</v>
      </c>
      <c r="D58" s="281" t="str">
        <f>IF('Instrument specs'!$N$7="","date not entered",'Instrument specs'!$N$7)</f>
        <v>date not entered</v>
      </c>
      <c r="E58" s="234" t="str">
        <f ca="1">IF(AND('Instrument specs'!$N$7&lt;&gt;"",'Instrument specs'!$N$7&lt;&gt;TODAY()),"Note: Date different from today","")</f>
        <v/>
      </c>
      <c r="F58" s="164"/>
      <c r="G58" s="164"/>
      <c r="H58" s="164"/>
      <c r="I58" s="164"/>
      <c r="J58" s="164"/>
    </row>
    <row r="59" spans="2:10">
      <c r="B59" s="164"/>
      <c r="C59" s="164"/>
      <c r="D59" s="164"/>
      <c r="E59" s="164"/>
      <c r="F59" s="164"/>
      <c r="G59" s="164"/>
      <c r="H59" s="164"/>
      <c r="I59" s="164"/>
      <c r="J59" s="164"/>
    </row>
    <row r="60" spans="2:10">
      <c r="B60" s="164"/>
      <c r="C60" s="164"/>
      <c r="D60" s="164"/>
      <c r="E60" s="164"/>
      <c r="F60" s="164"/>
      <c r="G60" s="164"/>
      <c r="H60" s="164"/>
      <c r="I60" s="164"/>
      <c r="J60" s="164"/>
    </row>
    <row r="61" spans="2:10">
      <c r="B61" s="164"/>
      <c r="C61" s="164"/>
      <c r="D61" s="164"/>
      <c r="E61" s="164"/>
      <c r="F61" s="164"/>
      <c r="G61" s="164"/>
      <c r="H61" s="164"/>
      <c r="I61" s="164"/>
      <c r="J61" s="164"/>
    </row>
    <row r="62" spans="2:10">
      <c r="B62" s="164"/>
      <c r="C62" s="164"/>
      <c r="D62" s="164"/>
      <c r="E62" s="164"/>
      <c r="F62" s="164"/>
      <c r="G62" s="164"/>
      <c r="H62" s="164"/>
      <c r="I62" s="164"/>
      <c r="J62" s="164"/>
    </row>
    <row r="63" spans="2:10">
      <c r="B63" s="164"/>
      <c r="C63" s="164"/>
      <c r="D63" s="164"/>
      <c r="E63" s="164"/>
      <c r="F63" s="164"/>
      <c r="G63" s="164"/>
      <c r="H63" s="164"/>
      <c r="I63" s="164"/>
      <c r="J63" s="164"/>
    </row>
    <row r="64" spans="2:10">
      <c r="B64" s="164"/>
      <c r="C64" s="164"/>
      <c r="D64" s="164"/>
      <c r="E64" s="164"/>
      <c r="F64" s="164"/>
      <c r="G64" s="164"/>
      <c r="H64" s="164"/>
      <c r="I64" s="164"/>
      <c r="J64" s="164"/>
    </row>
    <row r="65" spans="2:10">
      <c r="B65" s="164"/>
      <c r="C65" s="164"/>
      <c r="D65" s="164"/>
      <c r="E65" s="164"/>
      <c r="F65" s="164"/>
      <c r="G65" s="164"/>
      <c r="H65" s="164"/>
      <c r="I65" s="164"/>
      <c r="J65" s="164"/>
    </row>
    <row r="66" spans="2:10">
      <c r="B66" s="164"/>
      <c r="C66" s="164"/>
      <c r="D66" s="164"/>
      <c r="E66" s="164"/>
      <c r="F66" s="164"/>
      <c r="G66" s="164"/>
      <c r="H66" s="164"/>
      <c r="I66" s="164"/>
      <c r="J66" s="164"/>
    </row>
    <row r="67" spans="2:10">
      <c r="B67" s="164"/>
      <c r="C67" s="164"/>
      <c r="D67" s="164"/>
      <c r="E67" s="164"/>
      <c r="F67" s="164"/>
      <c r="G67" s="164"/>
      <c r="H67" s="164"/>
      <c r="I67" s="164"/>
      <c r="J67" s="164"/>
    </row>
    <row r="68" spans="2:10">
      <c r="B68" s="164"/>
      <c r="C68" s="164"/>
      <c r="D68" s="164"/>
      <c r="E68" s="164"/>
      <c r="F68" s="164"/>
      <c r="G68" s="164"/>
      <c r="H68" s="164"/>
      <c r="I68" s="164"/>
      <c r="J68" s="164"/>
    </row>
    <row r="69" spans="2:10">
      <c r="B69" s="164"/>
      <c r="C69" s="164"/>
      <c r="D69" s="164"/>
      <c r="E69" s="164"/>
      <c r="F69" s="164"/>
      <c r="G69" s="164"/>
      <c r="H69" s="164"/>
      <c r="I69" s="164"/>
      <c r="J69" s="164"/>
    </row>
    <row r="70" spans="2:10">
      <c r="B70" s="164"/>
      <c r="C70" s="164"/>
      <c r="D70" s="164"/>
      <c r="E70" s="164"/>
      <c r="F70" s="164"/>
      <c r="G70" s="164"/>
      <c r="H70" s="164"/>
      <c r="I70" s="164"/>
      <c r="J70" s="164"/>
    </row>
    <row r="71" spans="2:10">
      <c r="B71" s="164"/>
      <c r="C71" s="164"/>
      <c r="D71" s="164"/>
      <c r="E71" s="164"/>
      <c r="F71" s="164"/>
      <c r="G71" s="164"/>
      <c r="H71" s="164"/>
      <c r="I71" s="164"/>
      <c r="J71" s="164"/>
    </row>
    <row r="72" spans="2:10">
      <c r="B72" s="164"/>
      <c r="C72" s="164"/>
      <c r="D72" s="164"/>
      <c r="E72" s="164"/>
      <c r="F72" s="164"/>
      <c r="G72" s="164"/>
      <c r="H72" s="164"/>
      <c r="I72" s="164"/>
      <c r="J72" s="164"/>
    </row>
    <row r="73" spans="2:10">
      <c r="B73" s="164"/>
      <c r="C73" s="164"/>
      <c r="D73" s="164"/>
      <c r="E73" s="164"/>
      <c r="F73" s="164"/>
      <c r="G73" s="164"/>
      <c r="H73" s="164"/>
      <c r="I73" s="164"/>
      <c r="J73" s="164"/>
    </row>
    <row r="74" spans="2:10">
      <c r="B74" s="164"/>
      <c r="C74" s="164"/>
      <c r="D74" s="164"/>
      <c r="E74" s="164"/>
      <c r="F74" s="164"/>
      <c r="G74" s="164"/>
      <c r="H74" s="164"/>
      <c r="I74" s="164"/>
      <c r="J74" s="164"/>
    </row>
    <row r="75" spans="2:10">
      <c r="B75" s="164"/>
      <c r="C75" s="164"/>
      <c r="D75" s="164"/>
      <c r="E75" s="164"/>
      <c r="F75" s="164"/>
      <c r="G75" s="164"/>
      <c r="H75" s="164"/>
      <c r="I75" s="164"/>
      <c r="J75" s="164"/>
    </row>
    <row r="76" spans="2:10">
      <c r="B76" s="164"/>
      <c r="C76" s="164"/>
      <c r="D76" s="164"/>
      <c r="E76" s="164"/>
      <c r="F76" s="164"/>
      <c r="G76" s="164"/>
      <c r="H76" s="164"/>
      <c r="I76" s="164"/>
      <c r="J76" s="164"/>
    </row>
    <row r="77" spans="2:10">
      <c r="B77" s="164"/>
      <c r="C77" s="164"/>
      <c r="D77" s="164"/>
      <c r="E77" s="164"/>
      <c r="F77" s="164"/>
      <c r="G77" s="164"/>
      <c r="H77" s="164"/>
      <c r="I77" s="164"/>
      <c r="J77" s="164"/>
    </row>
    <row r="78" spans="2:10">
      <c r="B78" s="164"/>
      <c r="C78" s="164"/>
      <c r="D78" s="164"/>
      <c r="E78" s="164"/>
      <c r="F78" s="164"/>
      <c r="G78" s="164"/>
      <c r="H78" s="164"/>
      <c r="I78" s="164"/>
      <c r="J78" s="164"/>
    </row>
    <row r="79" spans="2:10">
      <c r="B79" s="164"/>
      <c r="C79" s="164"/>
      <c r="D79" s="164"/>
      <c r="E79" s="164"/>
      <c r="F79" s="164"/>
      <c r="G79" s="164"/>
      <c r="H79" s="164"/>
      <c r="I79" s="164"/>
      <c r="J79" s="164"/>
    </row>
    <row r="80" spans="2:10">
      <c r="B80" s="164"/>
      <c r="C80" s="164"/>
      <c r="D80" s="164"/>
      <c r="E80" s="164"/>
      <c r="F80" s="164"/>
      <c r="G80" s="164"/>
      <c r="H80" s="164"/>
      <c r="I80" s="164"/>
      <c r="J80" s="164"/>
    </row>
    <row r="81" spans="2:10">
      <c r="B81" s="164"/>
      <c r="C81" s="164"/>
      <c r="D81" s="164"/>
      <c r="E81" s="164"/>
      <c r="F81" s="164"/>
      <c r="G81" s="164"/>
      <c r="H81" s="164"/>
      <c r="I81" s="164"/>
      <c r="J81" s="164"/>
    </row>
    <row r="82" spans="2:10">
      <c r="B82" s="164"/>
      <c r="C82" s="164"/>
      <c r="D82" s="164"/>
      <c r="E82" s="164"/>
      <c r="F82" s="164"/>
      <c r="G82" s="164"/>
      <c r="H82" s="164"/>
      <c r="I82" s="164"/>
      <c r="J82" s="164"/>
    </row>
    <row r="83" spans="2:10">
      <c r="B83" s="164"/>
      <c r="C83" s="164"/>
      <c r="D83" s="164"/>
      <c r="E83" s="164"/>
      <c r="F83" s="164"/>
      <c r="G83" s="164"/>
      <c r="H83" s="164"/>
      <c r="I83" s="164"/>
      <c r="J83" s="164"/>
    </row>
    <row r="84" spans="2:10">
      <c r="B84" s="164"/>
      <c r="C84" s="164"/>
      <c r="D84" s="164"/>
      <c r="E84" s="164"/>
      <c r="F84" s="164"/>
      <c r="G84" s="164"/>
      <c r="H84" s="164"/>
      <c r="I84" s="164"/>
      <c r="J84" s="164"/>
    </row>
    <row r="85" spans="2:10">
      <c r="B85" s="164"/>
      <c r="C85" s="164"/>
      <c r="D85" s="164"/>
      <c r="E85" s="164"/>
      <c r="F85" s="164"/>
      <c r="G85" s="164"/>
      <c r="H85" s="164"/>
      <c r="I85" s="164"/>
      <c r="J85" s="164"/>
    </row>
    <row r="86" spans="2:10">
      <c r="B86" s="164"/>
      <c r="C86" s="164"/>
      <c r="D86" s="164"/>
      <c r="E86" s="164"/>
      <c r="F86" s="164"/>
      <c r="G86" s="164"/>
      <c r="H86" s="164"/>
      <c r="I86" s="164"/>
      <c r="J86" s="164"/>
    </row>
    <row r="87" spans="2:10">
      <c r="B87" s="164"/>
      <c r="C87" s="164"/>
      <c r="D87" s="164"/>
      <c r="E87" s="164"/>
      <c r="F87" s="164"/>
      <c r="G87" s="164"/>
      <c r="H87" s="164"/>
      <c r="I87" s="164"/>
      <c r="J87" s="164"/>
    </row>
    <row r="88" spans="2:10">
      <c r="B88" s="164"/>
      <c r="C88" s="164"/>
      <c r="D88" s="164"/>
      <c r="E88" s="164"/>
      <c r="F88" s="164"/>
      <c r="G88" s="164"/>
      <c r="H88" s="164"/>
      <c r="I88" s="164"/>
      <c r="J88" s="164"/>
    </row>
    <row r="89" spans="2:10">
      <c r="B89" s="164"/>
      <c r="C89" s="164"/>
      <c r="D89" s="164"/>
      <c r="E89" s="164"/>
      <c r="F89" s="164"/>
      <c r="G89" s="164"/>
      <c r="H89" s="164"/>
      <c r="I89" s="164"/>
      <c r="J89" s="164"/>
    </row>
    <row r="90" spans="2:10">
      <c r="B90" s="164"/>
      <c r="C90" s="164"/>
      <c r="D90" s="164"/>
      <c r="E90" s="164"/>
      <c r="F90" s="164"/>
      <c r="G90" s="164"/>
      <c r="H90" s="164"/>
      <c r="I90" s="164"/>
      <c r="J90" s="164"/>
    </row>
    <row r="91" spans="2:10">
      <c r="B91" s="164"/>
      <c r="C91" s="164"/>
      <c r="D91" s="164"/>
      <c r="E91" s="164"/>
      <c r="F91" s="164"/>
      <c r="G91" s="164"/>
      <c r="H91" s="164"/>
      <c r="I91" s="164"/>
      <c r="J91" s="164"/>
    </row>
    <row r="92" spans="2:10">
      <c r="B92" s="164"/>
      <c r="C92" s="164"/>
      <c r="D92" s="164"/>
      <c r="E92" s="164"/>
      <c r="F92" s="164"/>
      <c r="G92" s="164"/>
      <c r="H92" s="164"/>
      <c r="I92" s="164"/>
      <c r="J92" s="164"/>
    </row>
    <row r="93" spans="2:10">
      <c r="B93" s="164"/>
      <c r="C93" s="164"/>
      <c r="D93" s="164"/>
      <c r="E93" s="164"/>
      <c r="F93" s="164"/>
      <c r="G93" s="164"/>
      <c r="H93" s="164"/>
      <c r="I93" s="164"/>
      <c r="J93" s="164"/>
    </row>
    <row r="94" spans="2:10">
      <c r="B94" s="164"/>
      <c r="C94" s="164"/>
      <c r="D94" s="164"/>
      <c r="E94" s="164"/>
      <c r="F94" s="164"/>
      <c r="G94" s="164"/>
      <c r="H94" s="164"/>
      <c r="I94" s="164"/>
      <c r="J94" s="164"/>
    </row>
    <row r="95" spans="2:10">
      <c r="B95" s="164"/>
      <c r="C95" s="164"/>
      <c r="D95" s="164"/>
      <c r="E95" s="164"/>
      <c r="F95" s="164"/>
      <c r="G95" s="164"/>
      <c r="H95" s="164"/>
      <c r="I95" s="164"/>
      <c r="J95" s="164"/>
    </row>
    <row r="96" spans="2:10">
      <c r="B96" s="164"/>
      <c r="C96" s="164"/>
      <c r="D96" s="164"/>
      <c r="E96" s="164"/>
      <c r="F96" s="164"/>
      <c r="G96" s="164"/>
      <c r="H96" s="164"/>
      <c r="I96" s="164"/>
      <c r="J96" s="164"/>
    </row>
    <row r="97" spans="2:10">
      <c r="B97" s="164"/>
      <c r="C97" s="164"/>
      <c r="D97" s="164"/>
      <c r="E97" s="164"/>
      <c r="F97" s="164"/>
      <c r="G97" s="164"/>
      <c r="H97" s="164"/>
      <c r="I97" s="164"/>
      <c r="J97" s="164"/>
    </row>
    <row r="98" spans="2:10">
      <c r="B98" s="164"/>
      <c r="C98" s="164"/>
      <c r="D98" s="164"/>
      <c r="E98" s="164"/>
      <c r="F98" s="164"/>
      <c r="G98" s="164"/>
      <c r="H98" s="164"/>
      <c r="I98" s="164"/>
      <c r="J98" s="164"/>
    </row>
    <row r="99" spans="2:10">
      <c r="B99" s="164"/>
      <c r="C99" s="164"/>
      <c r="D99" s="164"/>
      <c r="E99" s="164"/>
      <c r="F99" s="164"/>
      <c r="G99" s="164"/>
      <c r="H99" s="164"/>
      <c r="I99" s="164"/>
      <c r="J99" s="164"/>
    </row>
  </sheetData>
  <sheetProtection password="CC40" sheet="1"/>
  <phoneticPr fontId="0" type="noConversion"/>
  <conditionalFormatting sqref="E50">
    <cfRule type="expression" dxfId="3" priority="1" stopIfTrue="1">
      <formula>$E$50="NOT ACCEPTABLE"</formula>
    </cfRule>
  </conditionalFormatting>
  <pageMargins left="0.31496062992125984" right="0.31496062992125984" top="0.23622047244094491" bottom="0.27559055118110237" header="0.35433070866141736" footer="0.55118110236220474"/>
  <pageSetup scale="95" orientation="portrait" horizontalDpi="240" verticalDpi="144" r:id="rId1"/>
  <headerFooter alignWithMargins="0">
    <oddFooter>&amp;CPage ... /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00"/>
  <sheetViews>
    <sheetView showGridLines="0" workbookViewId="0">
      <selection activeCell="B53" sqref="B53:B54"/>
    </sheetView>
  </sheetViews>
  <sheetFormatPr defaultRowHeight="12.5"/>
  <cols>
    <col min="1" max="1" width="0.90625" customWidth="1"/>
    <col min="2" max="2" width="5.54296875" customWidth="1"/>
    <col min="3" max="3" width="6.54296875" customWidth="1"/>
    <col min="4" max="5" width="14.36328125" customWidth="1"/>
    <col min="6" max="6" width="56.54296875" customWidth="1"/>
    <col min="7" max="7" width="20" customWidth="1"/>
    <col min="9" max="9" width="3.36328125" customWidth="1"/>
    <col min="10" max="10" width="11" customWidth="1"/>
    <col min="11" max="11" width="10.6328125" customWidth="1"/>
  </cols>
  <sheetData>
    <row r="1" spans="1:11">
      <c r="B1" s="164"/>
      <c r="C1" s="164"/>
      <c r="D1" s="164"/>
      <c r="E1" s="164"/>
      <c r="F1" s="237" t="str">
        <f>ver</f>
        <v>Ver 21</v>
      </c>
      <c r="G1" s="164"/>
      <c r="H1" s="164"/>
      <c r="I1" s="164"/>
      <c r="J1" s="164"/>
      <c r="K1" s="164"/>
    </row>
    <row r="2" spans="1:11" ht="20">
      <c r="A2" s="157" t="s">
        <v>123</v>
      </c>
      <c r="B2" s="166"/>
      <c r="C2" s="166"/>
      <c r="D2" s="166"/>
      <c r="E2" s="166"/>
      <c r="F2" s="166"/>
      <c r="G2" s="164"/>
      <c r="H2" s="164"/>
      <c r="I2" s="164"/>
      <c r="J2" s="164"/>
      <c r="K2" s="164"/>
    </row>
    <row r="3" spans="1:11" ht="13">
      <c r="B3" s="209" t="str">
        <f>IF(inst_multi_maxer&lt;&gt;2,"VOID, VOID, VOID, VOID, VOID, VOID, VOID, VOID, VOID, VOID, VOID, VOID","")</f>
        <v>VOID, VOID, VOID, VOID, VOID, VOID, VOID, VOID, VOID, VOID, VOID, VOID</v>
      </c>
      <c r="C3" s="167"/>
      <c r="D3" s="167"/>
      <c r="E3" s="95"/>
      <c r="F3" s="211"/>
      <c r="G3" s="164"/>
      <c r="H3" s="164"/>
      <c r="I3" s="164"/>
      <c r="J3" s="164"/>
      <c r="K3" s="164"/>
    </row>
    <row r="4" spans="1:11" ht="13">
      <c r="B4" s="164"/>
      <c r="C4" s="164"/>
      <c r="D4" s="164"/>
      <c r="E4" s="273" t="s">
        <v>255</v>
      </c>
      <c r="F4" s="183">
        <f>inst_report_no</f>
        <v>0</v>
      </c>
      <c r="G4" s="164"/>
      <c r="H4" s="164"/>
      <c r="I4" s="164"/>
      <c r="J4" s="164"/>
      <c r="K4" s="164"/>
    </row>
    <row r="5" spans="1:11" ht="13">
      <c r="B5" s="164"/>
      <c r="C5" s="164"/>
      <c r="D5" s="164"/>
      <c r="E5" s="165" t="s">
        <v>256</v>
      </c>
      <c r="F5" s="183">
        <f>E58</f>
        <v>0</v>
      </c>
      <c r="G5" s="164"/>
      <c r="H5" s="164"/>
      <c r="I5" s="164"/>
      <c r="J5" s="164"/>
      <c r="K5" s="164"/>
    </row>
    <row r="6" spans="1:11" ht="13">
      <c r="B6" s="164"/>
      <c r="C6" s="164"/>
      <c r="D6" s="164"/>
      <c r="E6" s="273" t="s">
        <v>251</v>
      </c>
      <c r="F6" s="183" t="str">
        <f>IF(ISBLANK(inst_conv_no),"",inst_conv_no)</f>
        <v/>
      </c>
      <c r="G6" s="164"/>
      <c r="H6" s="164"/>
      <c r="I6" s="164"/>
      <c r="J6" s="164"/>
      <c r="K6" s="164"/>
    </row>
    <row r="7" spans="1:11" ht="6" customHeight="1">
      <c r="B7" s="164"/>
      <c r="C7" s="164"/>
      <c r="D7" s="164"/>
      <c r="E7" s="165"/>
      <c r="F7" s="168"/>
      <c r="G7" s="164"/>
      <c r="H7" s="164"/>
      <c r="I7" s="164"/>
      <c r="J7" s="164"/>
      <c r="K7" s="164"/>
    </row>
    <row r="8" spans="1:11">
      <c r="B8" s="169" t="s">
        <v>125</v>
      </c>
      <c r="C8" s="191"/>
      <c r="D8" s="170"/>
      <c r="E8" s="170"/>
      <c r="F8" s="171"/>
      <c r="G8" s="164"/>
      <c r="H8" s="164"/>
      <c r="I8" s="164"/>
      <c r="J8" s="164"/>
      <c r="K8" s="164"/>
    </row>
    <row r="9" spans="1:11" ht="13">
      <c r="B9" s="172"/>
      <c r="C9" s="97"/>
      <c r="D9" s="97"/>
      <c r="E9" s="158" t="s">
        <v>254</v>
      </c>
      <c r="F9" s="178">
        <f>inst_inst_no</f>
        <v>0</v>
      </c>
      <c r="G9" s="164"/>
      <c r="H9" s="164"/>
      <c r="I9" s="164"/>
      <c r="J9" s="164"/>
      <c r="K9" s="164"/>
    </row>
    <row r="10" spans="1:11" ht="13">
      <c r="B10" s="172"/>
      <c r="C10" s="97"/>
      <c r="D10" s="97"/>
      <c r="E10" s="173" t="s">
        <v>126</v>
      </c>
      <c r="F10" s="175">
        <f>inst_model</f>
        <v>0</v>
      </c>
      <c r="G10" s="164"/>
      <c r="H10" s="164"/>
      <c r="I10" s="164"/>
      <c r="J10" s="164"/>
      <c r="K10" s="164"/>
    </row>
    <row r="11" spans="1:11" ht="13">
      <c r="B11" s="172"/>
      <c r="C11" s="97"/>
      <c r="D11" s="97"/>
      <c r="E11" s="176" t="s">
        <v>127</v>
      </c>
      <c r="F11" s="274" t="str">
        <f>inst_operation</f>
        <v>Manufacture of new instrument</v>
      </c>
      <c r="G11" s="164"/>
      <c r="H11" s="164"/>
      <c r="I11" s="164"/>
      <c r="J11" s="164"/>
      <c r="K11" s="164"/>
    </row>
    <row r="12" spans="1:11" ht="13">
      <c r="B12" s="172"/>
      <c r="C12" s="97"/>
      <c r="D12" s="97"/>
      <c r="E12" s="173" t="s">
        <v>9</v>
      </c>
      <c r="F12" s="174" t="str">
        <f>inst_cap_type</f>
        <v>Single range</v>
      </c>
      <c r="G12" s="164"/>
      <c r="H12" s="164"/>
      <c r="I12" s="164"/>
      <c r="J12" s="164"/>
      <c r="K12" s="164"/>
    </row>
    <row r="13" spans="1:11" ht="13">
      <c r="B13" s="172"/>
      <c r="C13" s="97"/>
      <c r="D13" s="97"/>
      <c r="E13" s="173" t="s">
        <v>128</v>
      </c>
      <c r="F13" s="174" t="str">
        <f>inst_inst_type</f>
        <v>Full load cell</v>
      </c>
      <c r="G13" s="164"/>
      <c r="H13" s="164"/>
      <c r="I13" s="164"/>
      <c r="J13" s="164"/>
      <c r="K13" s="164"/>
    </row>
    <row r="14" spans="1:11" ht="13">
      <c r="B14" s="172"/>
      <c r="C14" s="97"/>
      <c r="D14" s="97"/>
      <c r="E14" s="173" t="s">
        <v>129</v>
      </c>
      <c r="F14" s="177" t="str">
        <f>inst_recep_type</f>
        <v>Platform</v>
      </c>
      <c r="G14" s="164"/>
      <c r="H14" s="164"/>
      <c r="I14" s="164"/>
      <c r="J14" s="164"/>
      <c r="K14" s="164"/>
    </row>
    <row r="15" spans="1:11" ht="13">
      <c r="B15" s="172"/>
      <c r="C15" s="97"/>
      <c r="D15" s="97"/>
      <c r="E15" s="173" t="s">
        <v>130</v>
      </c>
      <c r="F15" s="178">
        <f>IF(Lookup!H9=1,inst_max_used,"Refer below")</f>
        <v>0</v>
      </c>
      <c r="G15" s="164"/>
      <c r="H15" s="164"/>
      <c r="I15" s="164"/>
      <c r="J15" s="164"/>
      <c r="K15" s="164"/>
    </row>
    <row r="16" spans="1:11" ht="13">
      <c r="B16" s="172"/>
      <c r="C16" s="97"/>
      <c r="D16" s="97"/>
      <c r="E16" s="158" t="s">
        <v>250</v>
      </c>
      <c r="F16" s="178">
        <f>IF(Lookup!H9=1,inst_max_used,"Refer below")</f>
        <v>0</v>
      </c>
      <c r="G16" s="164"/>
      <c r="H16" s="164"/>
      <c r="I16" s="164"/>
      <c r="J16" s="164"/>
      <c r="K16" s="164"/>
    </row>
    <row r="17" spans="2:11" ht="13">
      <c r="B17" s="172"/>
      <c r="C17" s="97"/>
      <c r="D17" s="97"/>
      <c r="E17" s="158" t="s">
        <v>227</v>
      </c>
      <c r="F17" s="178">
        <f>IF(Lookup!G25=1,inst_platform_L,"N/A")</f>
        <v>0</v>
      </c>
      <c r="G17" s="164"/>
      <c r="H17" s="164"/>
      <c r="I17" s="164"/>
      <c r="J17" s="164"/>
      <c r="K17" s="164"/>
    </row>
    <row r="18" spans="2:11" ht="13">
      <c r="B18" s="172"/>
      <c r="C18" s="97"/>
      <c r="D18" s="97"/>
      <c r="E18" s="173" t="s">
        <v>132</v>
      </c>
      <c r="F18" s="178">
        <f>IF(Lookup!G25=1,inst_platform_W,"N/A")</f>
        <v>0</v>
      </c>
      <c r="G18" s="164"/>
      <c r="H18" s="164"/>
      <c r="I18" s="164"/>
      <c r="J18" s="164"/>
      <c r="K18" s="164"/>
    </row>
    <row r="19" spans="2:11" ht="13">
      <c r="B19" s="172"/>
      <c r="C19" s="97"/>
      <c r="D19" s="97"/>
      <c r="E19" s="158" t="s">
        <v>249</v>
      </c>
      <c r="F19" s="178">
        <f>inst_dl</f>
        <v>0</v>
      </c>
      <c r="G19" s="164"/>
      <c r="H19" s="164"/>
      <c r="I19" s="164"/>
      <c r="J19" s="164"/>
      <c r="K19" s="164"/>
    </row>
    <row r="20" spans="2:11" ht="13">
      <c r="B20" s="172"/>
      <c r="C20" s="97"/>
      <c r="D20" s="97"/>
      <c r="E20" s="158" t="s">
        <v>228</v>
      </c>
      <c r="F20" s="178">
        <f>inst_N</f>
        <v>0</v>
      </c>
      <c r="H20" s="164"/>
      <c r="I20" s="164"/>
      <c r="J20" s="164"/>
      <c r="K20" s="164"/>
    </row>
    <row r="21" spans="2:11" ht="13">
      <c r="B21" s="179"/>
      <c r="C21" s="180"/>
      <c r="D21" s="180"/>
      <c r="E21" s="259" t="s">
        <v>229</v>
      </c>
      <c r="F21" s="182" t="str">
        <f>IF(Lookup!H3=2,inst_R,"n/a")</f>
        <v>n/a</v>
      </c>
      <c r="G21" s="164"/>
      <c r="H21" s="164"/>
      <c r="I21" s="164"/>
      <c r="J21" s="164"/>
      <c r="K21" s="164"/>
    </row>
    <row r="22" spans="2:11" ht="6" customHeight="1">
      <c r="B22" s="210"/>
      <c r="C22" s="97"/>
      <c r="D22" s="97"/>
      <c r="E22" s="173"/>
      <c r="F22" s="192"/>
      <c r="G22" s="164"/>
      <c r="H22" s="164"/>
      <c r="I22" s="164"/>
      <c r="J22" s="164"/>
      <c r="K22" s="164"/>
    </row>
    <row r="23" spans="2:11" ht="13">
      <c r="B23" s="184" t="str">
        <f>IF(Lookup!H9=1,"Multiple range/Multi-interval",inst_cap_type)</f>
        <v>Multiple range/Multi-interval</v>
      </c>
      <c r="C23" s="170"/>
      <c r="D23" s="170"/>
      <c r="E23" s="170"/>
      <c r="F23" s="196"/>
      <c r="G23" s="164"/>
      <c r="H23" s="164"/>
      <c r="I23" s="164"/>
      <c r="J23" s="164"/>
      <c r="K23" s="164"/>
    </row>
    <row r="24" spans="2:11">
      <c r="B24" s="172"/>
      <c r="C24" s="97"/>
      <c r="D24" s="193" t="str">
        <f>"from ("&amp;'Instrument specs'!$I$45&amp;")"</f>
        <v>from (kg)</v>
      </c>
      <c r="E24" s="194" t="str">
        <f>"to ("&amp;'Instrument specs'!$I$45&amp;")"</f>
        <v>to (kg)</v>
      </c>
      <c r="F24" s="197" t="str">
        <f>"e ("&amp;'Instrument specs'!$M$45&amp;")"</f>
        <v>e (kg)</v>
      </c>
      <c r="G24" s="164"/>
      <c r="H24" s="164"/>
      <c r="I24" s="164"/>
      <c r="J24" s="164"/>
      <c r="K24" s="164"/>
    </row>
    <row r="25" spans="2:11" ht="13">
      <c r="B25" s="172"/>
      <c r="C25" s="173" t="s">
        <v>32</v>
      </c>
      <c r="D25" s="195">
        <f>'Instrument specs'!G40</f>
        <v>0</v>
      </c>
      <c r="E25" s="195">
        <f>'Instrument specs'!I40</f>
        <v>0</v>
      </c>
      <c r="F25" s="178">
        <f>inst_multi_e_1*inst_multi_e_factor</f>
        <v>0</v>
      </c>
      <c r="G25" s="164"/>
      <c r="H25" s="164"/>
      <c r="I25" s="164"/>
      <c r="J25" s="164"/>
      <c r="K25" s="164"/>
    </row>
    <row r="26" spans="2:11" ht="13">
      <c r="B26" s="179"/>
      <c r="C26" s="259" t="s">
        <v>34</v>
      </c>
      <c r="D26" s="198">
        <f>'Instrument specs'!G41</f>
        <v>0</v>
      </c>
      <c r="E26" s="198">
        <f>'Instrument specs'!I41</f>
        <v>0</v>
      </c>
      <c r="F26" s="182">
        <f>inst_multi_e_2*inst_multi_e_factor</f>
        <v>0</v>
      </c>
      <c r="G26" s="164"/>
      <c r="H26" s="164"/>
      <c r="I26" s="164"/>
      <c r="J26" s="164"/>
      <c r="K26" s="164"/>
    </row>
    <row r="27" spans="2:11" ht="5.25" customHeight="1">
      <c r="B27" s="164"/>
      <c r="C27" s="164"/>
      <c r="D27" s="164"/>
      <c r="E27" s="165"/>
      <c r="F27" s="183"/>
      <c r="G27" s="164"/>
      <c r="H27" s="164"/>
      <c r="I27" s="164"/>
      <c r="J27" s="164"/>
      <c r="K27" s="164"/>
    </row>
    <row r="28" spans="2:11">
      <c r="B28" s="184" t="s">
        <v>135</v>
      </c>
      <c r="C28" s="191"/>
      <c r="D28" s="170"/>
      <c r="E28" s="170"/>
      <c r="F28" s="171"/>
      <c r="G28" s="164"/>
      <c r="H28" s="164"/>
      <c r="I28" s="164"/>
      <c r="J28" s="164"/>
      <c r="K28" s="164"/>
    </row>
    <row r="29" spans="2:11" ht="13">
      <c r="B29" s="172"/>
      <c r="C29" s="97"/>
      <c r="D29" s="97"/>
      <c r="E29" s="158" t="s">
        <v>269</v>
      </c>
      <c r="F29" s="178">
        <f>cell_S_No.</f>
        <v>0</v>
      </c>
      <c r="G29" s="164"/>
      <c r="H29" s="164"/>
      <c r="I29" s="164"/>
      <c r="J29" s="164"/>
      <c r="K29" s="164"/>
    </row>
    <row r="30" spans="2:11" ht="13">
      <c r="B30" s="172"/>
      <c r="C30" s="97"/>
      <c r="D30" s="97"/>
      <c r="E30" s="173" t="s">
        <v>5</v>
      </c>
      <c r="F30" s="178">
        <f>cell_make</f>
        <v>0</v>
      </c>
      <c r="G30" s="164"/>
      <c r="H30" s="164"/>
      <c r="I30" s="164"/>
      <c r="J30" s="164"/>
      <c r="K30" s="164"/>
    </row>
    <row r="31" spans="2:11" ht="13">
      <c r="B31" s="172"/>
      <c r="C31" s="97"/>
      <c r="D31" s="97"/>
      <c r="E31" s="173" t="s">
        <v>6</v>
      </c>
      <c r="F31" s="178">
        <f>cell_model</f>
        <v>0</v>
      </c>
      <c r="G31" s="164"/>
      <c r="H31" s="164"/>
      <c r="I31" s="164"/>
      <c r="J31" s="164"/>
      <c r="K31" s="164"/>
    </row>
    <row r="32" spans="2:11" ht="13">
      <c r="B32" s="179"/>
      <c r="C32" s="180"/>
      <c r="D32" s="180"/>
      <c r="E32" s="181" t="s">
        <v>136</v>
      </c>
      <c r="F32" s="182">
        <f>cell_max_cap*cell_max_factor</f>
        <v>0</v>
      </c>
      <c r="G32" s="164"/>
      <c r="H32" s="164"/>
      <c r="I32" s="164"/>
      <c r="J32" s="164"/>
      <c r="K32" s="164"/>
    </row>
    <row r="33" spans="2:11" ht="6" customHeight="1">
      <c r="B33" s="164"/>
      <c r="C33" s="164"/>
      <c r="D33" s="164"/>
      <c r="E33" s="164"/>
      <c r="F33" s="164"/>
      <c r="G33" s="164"/>
      <c r="H33" s="164"/>
      <c r="I33" s="164"/>
      <c r="J33" s="164"/>
      <c r="K33" s="164"/>
    </row>
    <row r="34" spans="2:11">
      <c r="B34" s="184" t="s">
        <v>137</v>
      </c>
      <c r="C34" s="191"/>
      <c r="D34" s="170"/>
      <c r="E34" s="170"/>
      <c r="F34" s="171"/>
      <c r="G34" s="164"/>
      <c r="H34" s="164"/>
      <c r="I34" s="164"/>
      <c r="J34" s="164"/>
      <c r="K34" s="164"/>
    </row>
    <row r="35" spans="2:11" ht="13">
      <c r="B35" s="172"/>
      <c r="C35" s="97"/>
      <c r="D35" s="97"/>
      <c r="E35" s="158" t="s">
        <v>269</v>
      </c>
      <c r="F35" s="178">
        <f>ind_S_No.</f>
        <v>0</v>
      </c>
      <c r="G35" s="164"/>
      <c r="H35" s="164"/>
      <c r="I35" s="164"/>
      <c r="J35" s="164"/>
      <c r="K35" s="164"/>
    </row>
    <row r="36" spans="2:11" ht="13">
      <c r="B36" s="172"/>
      <c r="C36" s="97"/>
      <c r="D36" s="97"/>
      <c r="E36" s="173" t="s">
        <v>5</v>
      </c>
      <c r="F36" s="178">
        <f>ind_make</f>
        <v>0</v>
      </c>
      <c r="G36" s="164"/>
      <c r="H36" s="164"/>
      <c r="I36" s="164"/>
      <c r="J36" s="164"/>
      <c r="K36" s="164"/>
    </row>
    <row r="37" spans="2:11" ht="13">
      <c r="B37" s="179"/>
      <c r="C37" s="180"/>
      <c r="D37" s="180"/>
      <c r="E37" s="181" t="s">
        <v>6</v>
      </c>
      <c r="F37" s="182">
        <f>ind_model</f>
        <v>0</v>
      </c>
      <c r="G37" s="164"/>
      <c r="H37" s="164"/>
      <c r="I37" s="164"/>
      <c r="J37" s="164"/>
      <c r="K37" s="164"/>
    </row>
    <row r="38" spans="2:11" ht="6" customHeight="1">
      <c r="B38" s="164"/>
      <c r="C38" s="164"/>
      <c r="D38" s="164"/>
      <c r="E38" s="164"/>
      <c r="F38" s="164"/>
      <c r="G38" s="164"/>
      <c r="H38" s="164"/>
      <c r="I38" s="164"/>
      <c r="J38" s="164"/>
      <c r="K38" s="164"/>
    </row>
    <row r="39" spans="2:11">
      <c r="B39" s="185" t="s">
        <v>138</v>
      </c>
      <c r="C39" s="170"/>
      <c r="D39" s="170"/>
      <c r="E39" s="170"/>
      <c r="F39" s="171"/>
      <c r="G39" s="164"/>
      <c r="H39" s="164"/>
      <c r="I39" s="164"/>
      <c r="J39" s="164"/>
      <c r="K39" s="164"/>
    </row>
    <row r="40" spans="2:11" ht="13">
      <c r="B40" s="172"/>
      <c r="C40" s="97"/>
      <c r="D40" s="97"/>
      <c r="E40" s="97"/>
      <c r="F40" s="233" t="str">
        <f ca="1">IF(AND('Instrument specs'!$N$7&lt;&gt;"",'Instrument specs'!$N$7&lt;&gt;TODAY()),"Note: Date for checking certificate expiry different from today","")</f>
        <v/>
      </c>
      <c r="G40" s="164"/>
      <c r="H40" s="164"/>
      <c r="I40" s="164"/>
      <c r="J40" s="164"/>
      <c r="K40" s="164"/>
    </row>
    <row r="41" spans="2:11" ht="13">
      <c r="B41" s="172"/>
      <c r="C41" s="97"/>
      <c r="D41" s="97"/>
      <c r="E41" s="158" t="s">
        <v>139</v>
      </c>
      <c r="F41" s="186" t="str">
        <f>'6B0 Analysis'!Q11</f>
        <v>NOT ACCEPTABLE</v>
      </c>
      <c r="G41" s="164"/>
      <c r="H41" s="164"/>
      <c r="I41" s="164"/>
      <c r="J41" s="164"/>
      <c r="K41" s="164"/>
    </row>
    <row r="42" spans="2:11" ht="13">
      <c r="B42" s="172"/>
      <c r="C42" s="97"/>
      <c r="D42" s="97"/>
      <c r="E42" s="158" t="s">
        <v>140</v>
      </c>
      <c r="F42" s="186" t="str">
        <f>'6B0 Analysis'!Q16</f>
        <v>ACCEPTABLE</v>
      </c>
      <c r="G42" s="164"/>
      <c r="H42" s="164"/>
      <c r="I42" s="164"/>
      <c r="J42" s="164"/>
      <c r="K42" s="164"/>
    </row>
    <row r="43" spans="2:11" ht="13">
      <c r="B43" s="172"/>
      <c r="C43" s="97"/>
      <c r="D43" s="97"/>
      <c r="E43" s="158" t="s">
        <v>141</v>
      </c>
      <c r="F43" s="186" t="str">
        <f>'6B0 Analysis'!Q20</f>
        <v>ACCEPTABLE</v>
      </c>
      <c r="G43" s="164"/>
      <c r="H43" s="164"/>
      <c r="I43" s="164"/>
      <c r="J43" s="164"/>
      <c r="K43" s="164"/>
    </row>
    <row r="44" spans="2:11" ht="13">
      <c r="B44" s="172"/>
      <c r="C44" s="97"/>
      <c r="D44" s="97"/>
      <c r="E44" s="158" t="s">
        <v>15</v>
      </c>
      <c r="F44" s="186" t="e">
        <f>'6B0 Analysis'!Q34</f>
        <v>#DIV/0!</v>
      </c>
      <c r="G44" s="164"/>
      <c r="H44" s="164"/>
      <c r="I44" s="164"/>
      <c r="J44" s="164"/>
      <c r="K44" s="164"/>
    </row>
    <row r="45" spans="2:11" ht="13">
      <c r="B45" s="172"/>
      <c r="C45" s="97"/>
      <c r="D45" s="97"/>
      <c r="E45" s="158" t="s">
        <v>248</v>
      </c>
      <c r="F45" s="186" t="e">
        <f>'6B0 Analysis'!Q54</f>
        <v>#DIV/0!</v>
      </c>
      <c r="G45" s="164"/>
      <c r="H45" s="164"/>
      <c r="I45" s="164"/>
      <c r="J45" s="164"/>
      <c r="K45" s="164"/>
    </row>
    <row r="46" spans="2:11" ht="13">
      <c r="B46" s="172"/>
      <c r="C46" s="97"/>
      <c r="D46" s="97"/>
      <c r="E46" s="173" t="s">
        <v>143</v>
      </c>
      <c r="F46" s="186" t="str">
        <f>'6B0 Analysis'!Q96</f>
        <v>NOT ACCEPTABLE</v>
      </c>
      <c r="G46" s="164"/>
      <c r="H46" s="164"/>
      <c r="I46" s="164"/>
      <c r="J46" s="164"/>
      <c r="K46" s="164"/>
    </row>
    <row r="47" spans="2:11" ht="13">
      <c r="B47" s="172"/>
      <c r="C47" s="97"/>
      <c r="D47" s="97"/>
      <c r="E47" s="158" t="s">
        <v>259</v>
      </c>
      <c r="F47" s="186" t="str">
        <f>'6B0 Analysis'!Q106</f>
        <v>ACCEPTABLE</v>
      </c>
      <c r="G47" s="164"/>
      <c r="H47" s="164"/>
      <c r="I47" s="164"/>
      <c r="J47" s="164"/>
      <c r="K47" s="164"/>
    </row>
    <row r="48" spans="2:11" ht="13">
      <c r="B48" s="172"/>
      <c r="C48" s="97"/>
      <c r="D48" s="97"/>
      <c r="E48" s="158" t="s">
        <v>246</v>
      </c>
      <c r="F48" s="186" t="e">
        <f>'6B0 Analysis'!Q116</f>
        <v>#DIV/0!</v>
      </c>
      <c r="G48" s="164"/>
      <c r="H48" s="164"/>
      <c r="I48" s="164"/>
      <c r="J48" s="164"/>
      <c r="K48" s="164"/>
    </row>
    <row r="49" spans="2:11" ht="13">
      <c r="B49" s="172"/>
      <c r="C49" s="97"/>
      <c r="D49" s="97"/>
      <c r="E49" s="173" t="s">
        <v>145</v>
      </c>
      <c r="F49" s="186" t="e">
        <f>'6B0 Analysis'!Q124</f>
        <v>#DIV/0!</v>
      </c>
      <c r="G49" s="164"/>
      <c r="H49" s="164"/>
      <c r="I49" s="164"/>
      <c r="J49" s="164"/>
      <c r="K49" s="164"/>
    </row>
    <row r="50" spans="2:11" ht="13">
      <c r="B50" s="172"/>
      <c r="C50" s="97"/>
      <c r="D50" s="97"/>
      <c r="E50" s="158" t="s">
        <v>260</v>
      </c>
      <c r="F50" s="186" t="e">
        <f>'6B0 Analysis'!Q133</f>
        <v>#DIV/0!</v>
      </c>
      <c r="G50" s="164"/>
      <c r="H50" s="164"/>
      <c r="I50" s="164"/>
      <c r="J50" s="164"/>
      <c r="K50" s="164"/>
    </row>
    <row r="51" spans="2:11" ht="13">
      <c r="B51" s="179"/>
      <c r="C51" s="180"/>
      <c r="D51" s="180"/>
      <c r="E51" s="181" t="s">
        <v>121</v>
      </c>
      <c r="F51" s="207" t="str">
        <f>'6B0 Analysis'!I135</f>
        <v>NOT ACCEPTABLE</v>
      </c>
      <c r="G51" s="164"/>
      <c r="H51" s="164"/>
      <c r="I51" s="164"/>
      <c r="J51" s="164"/>
      <c r="K51" s="164"/>
    </row>
    <row r="52" spans="2:11">
      <c r="B52" s="277" t="str">
        <f>'6B0 Analysis'!D137</f>
        <v>Note: 'Acceptable' is in regard to calculations included in this spreadsheet only. All requirements of 6B/0 need to be considered.</v>
      </c>
      <c r="C52" s="164"/>
      <c r="D52" s="164"/>
      <c r="E52" s="164"/>
      <c r="F52" s="164"/>
      <c r="G52" s="164"/>
      <c r="H52" s="164"/>
      <c r="I52" s="164"/>
      <c r="J52" s="164"/>
      <c r="K52" s="164"/>
    </row>
    <row r="53" spans="2:11">
      <c r="B53" s="285" t="str">
        <f>'6B0 Analysis'!D138</f>
        <v/>
      </c>
      <c r="C53" s="164"/>
      <c r="D53" s="164"/>
      <c r="E53" s="164"/>
      <c r="F53" s="164"/>
      <c r="G53" s="164"/>
      <c r="H53" s="164"/>
      <c r="I53" s="164"/>
      <c r="J53" s="164"/>
      <c r="K53" s="164"/>
    </row>
    <row r="54" spans="2:11">
      <c r="B54" s="285" t="str">
        <f>'6B0 Analysis'!D139</f>
        <v/>
      </c>
      <c r="C54" s="164"/>
      <c r="D54" s="164"/>
      <c r="E54" s="164"/>
      <c r="F54" s="164"/>
      <c r="G54" s="164"/>
      <c r="H54" s="164"/>
      <c r="I54" s="164"/>
      <c r="J54" s="164"/>
      <c r="K54" s="164"/>
    </row>
    <row r="55" spans="2:11" ht="9" customHeight="1">
      <c r="B55" s="164"/>
      <c r="C55" s="164"/>
      <c r="D55" s="164"/>
      <c r="E55" s="164"/>
      <c r="F55" s="164"/>
      <c r="G55" s="164"/>
      <c r="H55" s="164"/>
      <c r="I55" s="164"/>
      <c r="J55" s="164"/>
      <c r="K55" s="164"/>
    </row>
    <row r="56" spans="2:11">
      <c r="B56" s="164"/>
      <c r="C56" s="164"/>
      <c r="D56" s="2" t="s">
        <v>211</v>
      </c>
      <c r="E56" s="187">
        <f>inst_submittor_name</f>
        <v>0</v>
      </c>
      <c r="F56" s="164"/>
      <c r="G56" s="164"/>
      <c r="H56" s="164"/>
      <c r="I56" s="164"/>
      <c r="J56" s="164"/>
      <c r="K56" s="164"/>
    </row>
    <row r="57" spans="2:11">
      <c r="B57" s="164"/>
      <c r="C57" s="164"/>
      <c r="D57" s="2" t="s">
        <v>212</v>
      </c>
      <c r="E57" s="187">
        <f>inst_submittor_org</f>
        <v>0</v>
      </c>
      <c r="F57" s="164"/>
      <c r="G57" s="164"/>
      <c r="H57" s="164"/>
      <c r="I57" s="164"/>
      <c r="J57" s="164"/>
      <c r="K57" s="164"/>
    </row>
    <row r="58" spans="2:11">
      <c r="B58" s="164"/>
      <c r="C58" s="164"/>
      <c r="D58" s="2" t="s">
        <v>213</v>
      </c>
      <c r="E58" s="187">
        <f>inst_submittor_pos</f>
        <v>0</v>
      </c>
      <c r="F58" s="164"/>
      <c r="G58" s="164"/>
      <c r="H58" s="164"/>
      <c r="I58" s="164"/>
      <c r="J58" s="164"/>
      <c r="K58" s="164"/>
    </row>
    <row r="59" spans="2:11" ht="13">
      <c r="B59" s="164"/>
      <c r="C59" s="164"/>
      <c r="D59" s="272" t="s">
        <v>245</v>
      </c>
      <c r="E59" s="281" t="str">
        <f>IF('Instrument specs'!$N$7="","date not entered",'Instrument specs'!$N$7)</f>
        <v>date not entered</v>
      </c>
      <c r="F59" s="234" t="str">
        <f ca="1">IF(AND('Instrument specs'!$N$7&lt;&gt;"",'Instrument specs'!$N$7&lt;&gt;TODAY()),"Note: Date different from today","")</f>
        <v/>
      </c>
      <c r="G59" s="164"/>
      <c r="H59" s="164"/>
      <c r="I59" s="164"/>
      <c r="J59" s="164"/>
      <c r="K59" s="164"/>
    </row>
    <row r="60" spans="2:11">
      <c r="B60" s="164"/>
      <c r="C60" s="164"/>
      <c r="D60" s="164"/>
      <c r="E60" s="164"/>
      <c r="F60" s="164"/>
      <c r="G60" s="164"/>
      <c r="H60" s="164"/>
      <c r="I60" s="164"/>
      <c r="J60" s="164"/>
      <c r="K60" s="164"/>
    </row>
    <row r="61" spans="2:11">
      <c r="B61" s="164"/>
      <c r="C61" s="164"/>
      <c r="D61" s="164"/>
      <c r="E61" s="164"/>
      <c r="F61" s="164"/>
      <c r="G61" s="164"/>
      <c r="H61" s="164"/>
      <c r="I61" s="164"/>
      <c r="J61" s="164"/>
      <c r="K61" s="164"/>
    </row>
    <row r="62" spans="2:11">
      <c r="B62" s="164"/>
      <c r="C62" s="164"/>
      <c r="D62" s="164"/>
      <c r="E62" s="164"/>
      <c r="F62" s="164"/>
      <c r="G62" s="164"/>
      <c r="H62" s="164"/>
      <c r="I62" s="164"/>
      <c r="J62" s="164"/>
      <c r="K62" s="164"/>
    </row>
    <row r="63" spans="2:11">
      <c r="B63" s="164"/>
      <c r="C63" s="164"/>
      <c r="D63" s="164"/>
      <c r="E63" s="164"/>
      <c r="F63" s="164"/>
      <c r="G63" s="164"/>
      <c r="H63" s="164"/>
      <c r="I63" s="164"/>
      <c r="J63" s="164"/>
      <c r="K63" s="164"/>
    </row>
    <row r="64" spans="2:11">
      <c r="B64" s="164"/>
      <c r="C64" s="164"/>
      <c r="D64" s="164"/>
      <c r="E64" s="164"/>
      <c r="F64" s="164"/>
      <c r="G64" s="164"/>
      <c r="H64" s="164"/>
      <c r="I64" s="164"/>
      <c r="J64" s="164"/>
      <c r="K64" s="164"/>
    </row>
    <row r="65" spans="2:11">
      <c r="B65" s="164"/>
      <c r="C65" s="164"/>
      <c r="D65" s="164"/>
      <c r="E65" s="164"/>
      <c r="F65" s="164"/>
      <c r="G65" s="164"/>
      <c r="H65" s="164"/>
      <c r="I65" s="164"/>
      <c r="J65" s="164"/>
      <c r="K65" s="164"/>
    </row>
    <row r="66" spans="2:11">
      <c r="B66" s="164"/>
      <c r="C66" s="164"/>
      <c r="D66" s="164"/>
      <c r="E66" s="164"/>
      <c r="F66" s="164"/>
      <c r="G66" s="164"/>
      <c r="H66" s="164"/>
      <c r="I66" s="164"/>
      <c r="J66" s="164"/>
      <c r="K66" s="164"/>
    </row>
    <row r="67" spans="2:11">
      <c r="B67" s="164"/>
      <c r="C67" s="164"/>
      <c r="D67" s="164"/>
      <c r="E67" s="164"/>
      <c r="F67" s="164"/>
      <c r="G67" s="164"/>
      <c r="H67" s="164"/>
      <c r="I67" s="164"/>
      <c r="J67" s="164"/>
      <c r="K67" s="164"/>
    </row>
    <row r="68" spans="2:11">
      <c r="B68" s="164"/>
      <c r="C68" s="164"/>
      <c r="D68" s="164"/>
      <c r="E68" s="164"/>
      <c r="F68" s="164"/>
      <c r="G68" s="164"/>
      <c r="H68" s="164"/>
      <c r="I68" s="164"/>
      <c r="J68" s="164"/>
      <c r="K68" s="164"/>
    </row>
    <row r="69" spans="2:11">
      <c r="B69" s="164"/>
      <c r="C69" s="164"/>
      <c r="D69" s="164"/>
      <c r="E69" s="164"/>
      <c r="F69" s="164"/>
      <c r="G69" s="164"/>
      <c r="H69" s="164"/>
      <c r="I69" s="164"/>
      <c r="J69" s="164"/>
      <c r="K69" s="164"/>
    </row>
    <row r="70" spans="2:11">
      <c r="B70" s="164"/>
      <c r="C70" s="164"/>
      <c r="D70" s="164"/>
      <c r="E70" s="164"/>
      <c r="F70" s="164"/>
      <c r="G70" s="164"/>
      <c r="H70" s="164"/>
      <c r="I70" s="164"/>
      <c r="J70" s="164"/>
      <c r="K70" s="164"/>
    </row>
    <row r="71" spans="2:11">
      <c r="B71" s="164"/>
      <c r="C71" s="164"/>
      <c r="D71" s="164"/>
      <c r="E71" s="164"/>
      <c r="F71" s="164"/>
      <c r="G71" s="164"/>
      <c r="H71" s="164"/>
      <c r="I71" s="164"/>
      <c r="J71" s="164"/>
      <c r="K71" s="164"/>
    </row>
    <row r="72" spans="2:11">
      <c r="B72" s="164"/>
      <c r="C72" s="164"/>
      <c r="D72" s="164"/>
      <c r="E72" s="164"/>
      <c r="F72" s="164"/>
      <c r="G72" s="164"/>
      <c r="H72" s="164"/>
      <c r="I72" s="164"/>
      <c r="J72" s="164"/>
      <c r="K72" s="164"/>
    </row>
    <row r="73" spans="2:11">
      <c r="B73" s="164"/>
      <c r="C73" s="164"/>
      <c r="D73" s="164"/>
      <c r="E73" s="164"/>
      <c r="F73" s="164"/>
      <c r="G73" s="164"/>
      <c r="H73" s="164"/>
      <c r="I73" s="164"/>
      <c r="J73" s="164"/>
      <c r="K73" s="164"/>
    </row>
    <row r="74" spans="2:11">
      <c r="B74" s="164"/>
      <c r="C74" s="164"/>
      <c r="D74" s="164"/>
      <c r="E74" s="164"/>
      <c r="F74" s="164"/>
      <c r="G74" s="164"/>
      <c r="H74" s="164"/>
      <c r="I74" s="164"/>
      <c r="J74" s="164"/>
      <c r="K74" s="164"/>
    </row>
    <row r="75" spans="2:11">
      <c r="B75" s="164"/>
      <c r="C75" s="164"/>
      <c r="D75" s="164"/>
      <c r="E75" s="164"/>
      <c r="F75" s="164"/>
      <c r="G75" s="164"/>
      <c r="H75" s="164"/>
      <c r="I75" s="164"/>
      <c r="J75" s="164"/>
      <c r="K75" s="164"/>
    </row>
    <row r="76" spans="2:11">
      <c r="B76" s="164"/>
      <c r="C76" s="164"/>
      <c r="D76" s="164"/>
      <c r="E76" s="164"/>
      <c r="F76" s="164"/>
      <c r="G76" s="164"/>
      <c r="H76" s="164"/>
      <c r="I76" s="164"/>
      <c r="J76" s="164"/>
      <c r="K76" s="164"/>
    </row>
    <row r="77" spans="2:11">
      <c r="B77" s="164"/>
      <c r="C77" s="164"/>
      <c r="D77" s="164"/>
      <c r="E77" s="164"/>
      <c r="F77" s="164"/>
      <c r="G77" s="164"/>
      <c r="H77" s="164"/>
      <c r="I77" s="164"/>
      <c r="J77" s="164"/>
      <c r="K77" s="164"/>
    </row>
    <row r="78" spans="2:11">
      <c r="B78" s="164"/>
      <c r="C78" s="164"/>
      <c r="D78" s="164"/>
      <c r="E78" s="164"/>
      <c r="F78" s="164"/>
      <c r="G78" s="164"/>
      <c r="H78" s="164"/>
      <c r="I78" s="164"/>
      <c r="J78" s="164"/>
      <c r="K78" s="164"/>
    </row>
    <row r="79" spans="2:11">
      <c r="B79" s="164"/>
      <c r="C79" s="164"/>
      <c r="D79" s="164"/>
      <c r="E79" s="164"/>
      <c r="F79" s="164"/>
      <c r="G79" s="164"/>
      <c r="H79" s="164"/>
      <c r="I79" s="164"/>
      <c r="J79" s="164"/>
      <c r="K79" s="164"/>
    </row>
    <row r="80" spans="2:11">
      <c r="B80" s="164"/>
      <c r="C80" s="164"/>
      <c r="D80" s="164"/>
      <c r="E80" s="164"/>
      <c r="F80" s="164"/>
      <c r="G80" s="164"/>
      <c r="H80" s="164"/>
      <c r="I80" s="164"/>
      <c r="J80" s="164"/>
      <c r="K80" s="164"/>
    </row>
    <row r="81" spans="2:11">
      <c r="B81" s="164"/>
      <c r="C81" s="164"/>
      <c r="D81" s="164"/>
      <c r="E81" s="164"/>
      <c r="F81" s="164"/>
      <c r="G81" s="164"/>
      <c r="H81" s="164"/>
      <c r="I81" s="164"/>
      <c r="J81" s="164"/>
      <c r="K81" s="164"/>
    </row>
    <row r="82" spans="2:11">
      <c r="B82" s="164"/>
      <c r="C82" s="164"/>
      <c r="D82" s="164"/>
      <c r="E82" s="164"/>
      <c r="F82" s="164"/>
      <c r="G82" s="164"/>
      <c r="H82" s="164"/>
      <c r="I82" s="164"/>
      <c r="J82" s="164"/>
      <c r="K82" s="164"/>
    </row>
    <row r="83" spans="2:11">
      <c r="B83" s="164"/>
      <c r="C83" s="164"/>
      <c r="D83" s="164"/>
      <c r="E83" s="164"/>
      <c r="F83" s="164"/>
      <c r="G83" s="164"/>
      <c r="H83" s="164"/>
      <c r="I83" s="164"/>
      <c r="J83" s="164"/>
      <c r="K83" s="164"/>
    </row>
    <row r="84" spans="2:11">
      <c r="B84" s="164"/>
      <c r="C84" s="164"/>
      <c r="D84" s="164"/>
      <c r="E84" s="164"/>
      <c r="F84" s="164"/>
      <c r="G84" s="164"/>
      <c r="H84" s="164"/>
      <c r="I84" s="164"/>
      <c r="J84" s="164"/>
      <c r="K84" s="164"/>
    </row>
    <row r="85" spans="2:11">
      <c r="B85" s="164"/>
      <c r="C85" s="164"/>
      <c r="D85" s="164"/>
      <c r="E85" s="164"/>
      <c r="F85" s="164"/>
      <c r="G85" s="164"/>
      <c r="H85" s="164"/>
      <c r="I85" s="164"/>
      <c r="J85" s="164"/>
      <c r="K85" s="164"/>
    </row>
    <row r="86" spans="2:11">
      <c r="B86" s="164"/>
      <c r="C86" s="164"/>
      <c r="D86" s="164"/>
      <c r="E86" s="164"/>
      <c r="F86" s="164"/>
      <c r="G86" s="164"/>
      <c r="H86" s="164"/>
      <c r="I86" s="164"/>
      <c r="J86" s="164"/>
      <c r="K86" s="164"/>
    </row>
    <row r="87" spans="2:11">
      <c r="B87" s="164"/>
      <c r="C87" s="164"/>
      <c r="D87" s="164"/>
      <c r="E87" s="164"/>
      <c r="F87" s="164"/>
      <c r="G87" s="164"/>
      <c r="H87" s="164"/>
      <c r="I87" s="164"/>
      <c r="J87" s="164"/>
      <c r="K87" s="164"/>
    </row>
    <row r="88" spans="2:11">
      <c r="B88" s="164"/>
      <c r="C88" s="164"/>
      <c r="D88" s="164"/>
      <c r="E88" s="164"/>
      <c r="F88" s="164"/>
      <c r="G88" s="164"/>
      <c r="H88" s="164"/>
      <c r="I88" s="164"/>
      <c r="J88" s="164"/>
      <c r="K88" s="164"/>
    </row>
    <row r="89" spans="2:11">
      <c r="B89" s="164"/>
      <c r="C89" s="164"/>
      <c r="D89" s="164"/>
      <c r="E89" s="164"/>
      <c r="F89" s="164"/>
      <c r="G89" s="164"/>
      <c r="H89" s="164"/>
      <c r="I89" s="164"/>
      <c r="J89" s="164"/>
      <c r="K89" s="164"/>
    </row>
    <row r="90" spans="2:11">
      <c r="B90" s="164"/>
      <c r="C90" s="164"/>
      <c r="D90" s="164"/>
      <c r="E90" s="164"/>
      <c r="F90" s="164"/>
      <c r="G90" s="164"/>
      <c r="H90" s="164"/>
      <c r="I90" s="164"/>
      <c r="J90" s="164"/>
      <c r="K90" s="164"/>
    </row>
    <row r="91" spans="2:11">
      <c r="B91" s="164"/>
      <c r="C91" s="164"/>
      <c r="D91" s="164"/>
      <c r="E91" s="164"/>
      <c r="F91" s="164"/>
      <c r="G91" s="164"/>
      <c r="H91" s="164"/>
      <c r="I91" s="164"/>
      <c r="J91" s="164"/>
      <c r="K91" s="164"/>
    </row>
    <row r="92" spans="2:11">
      <c r="B92" s="164"/>
      <c r="C92" s="164"/>
      <c r="D92" s="164"/>
      <c r="E92" s="164"/>
      <c r="F92" s="164"/>
      <c r="G92" s="164"/>
      <c r="H92" s="164"/>
      <c r="I92" s="164"/>
      <c r="J92" s="164"/>
      <c r="K92" s="164"/>
    </row>
    <row r="93" spans="2:11">
      <c r="B93" s="164"/>
      <c r="C93" s="164"/>
      <c r="D93" s="164"/>
      <c r="E93" s="164"/>
      <c r="F93" s="164"/>
      <c r="G93" s="164"/>
      <c r="H93" s="164"/>
      <c r="I93" s="164"/>
      <c r="J93" s="164"/>
      <c r="K93" s="164"/>
    </row>
    <row r="94" spans="2:11">
      <c r="B94" s="164"/>
      <c r="C94" s="164"/>
      <c r="D94" s="164"/>
      <c r="E94" s="164"/>
      <c r="F94" s="164"/>
      <c r="G94" s="164"/>
      <c r="H94" s="164"/>
      <c r="I94" s="164"/>
      <c r="J94" s="164"/>
      <c r="K94" s="164"/>
    </row>
    <row r="95" spans="2:11">
      <c r="B95" s="164"/>
      <c r="C95" s="164"/>
      <c r="D95" s="164"/>
      <c r="E95" s="164"/>
      <c r="F95" s="164"/>
      <c r="G95" s="164"/>
      <c r="H95" s="164"/>
      <c r="I95" s="164"/>
      <c r="J95" s="164"/>
      <c r="K95" s="164"/>
    </row>
    <row r="96" spans="2:11">
      <c r="B96" s="164"/>
      <c r="C96" s="164"/>
      <c r="D96" s="164"/>
      <c r="E96" s="164"/>
      <c r="F96" s="164"/>
      <c r="G96" s="164"/>
      <c r="H96" s="164"/>
      <c r="I96" s="164"/>
      <c r="J96" s="164"/>
      <c r="K96" s="164"/>
    </row>
    <row r="97" spans="2:11">
      <c r="B97" s="164"/>
      <c r="C97" s="164"/>
      <c r="D97" s="164"/>
      <c r="E97" s="164"/>
      <c r="F97" s="164"/>
      <c r="G97" s="164"/>
      <c r="H97" s="164"/>
      <c r="I97" s="164"/>
      <c r="J97" s="164"/>
      <c r="K97" s="164"/>
    </row>
    <row r="98" spans="2:11">
      <c r="B98" s="164"/>
      <c r="C98" s="164"/>
      <c r="D98" s="164"/>
      <c r="E98" s="164"/>
      <c r="F98" s="164"/>
      <c r="G98" s="164"/>
      <c r="H98" s="164"/>
      <c r="I98" s="164"/>
      <c r="J98" s="164"/>
      <c r="K98" s="164"/>
    </row>
    <row r="99" spans="2:11">
      <c r="B99" s="164"/>
      <c r="C99" s="164"/>
      <c r="D99" s="164"/>
      <c r="E99" s="164"/>
      <c r="F99" s="164"/>
      <c r="G99" s="164"/>
      <c r="H99" s="164"/>
      <c r="I99" s="164"/>
      <c r="J99" s="164"/>
      <c r="K99" s="164"/>
    </row>
    <row r="100" spans="2:11">
      <c r="B100" s="164"/>
      <c r="C100" s="164"/>
      <c r="D100" s="164"/>
      <c r="E100" s="164"/>
      <c r="F100" s="164"/>
      <c r="G100" s="164"/>
      <c r="H100" s="164"/>
      <c r="I100" s="164"/>
      <c r="J100" s="164"/>
      <c r="K100" s="164"/>
    </row>
  </sheetData>
  <sheetProtection password="CC40" sheet="1"/>
  <phoneticPr fontId="0" type="noConversion"/>
  <conditionalFormatting sqref="F51">
    <cfRule type="expression" dxfId="2" priority="1" stopIfTrue="1">
      <formula>$F$51="NOT ACCEPTABLE"</formula>
    </cfRule>
  </conditionalFormatting>
  <pageMargins left="0.43307086614173229" right="0.31496062992125984" top="0.23622047244094491" bottom="0.27559055118110237" header="0.19685039370078741" footer="0.19685039370078741"/>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01"/>
  <sheetViews>
    <sheetView workbookViewId="0">
      <selection activeCell="B54" sqref="B54:B55"/>
    </sheetView>
  </sheetViews>
  <sheetFormatPr defaultRowHeight="12.5"/>
  <cols>
    <col min="1" max="1" width="0.90625" customWidth="1"/>
    <col min="2" max="2" width="5.54296875" customWidth="1"/>
    <col min="3" max="3" width="6.54296875" customWidth="1"/>
    <col min="4" max="5" width="14.36328125" customWidth="1"/>
    <col min="6" max="6" width="56.54296875" customWidth="1"/>
    <col min="7" max="7" width="20" customWidth="1"/>
    <col min="9" max="9" width="3.36328125" customWidth="1"/>
    <col min="10" max="10" width="11" customWidth="1"/>
    <col min="11" max="11" width="10.6328125" customWidth="1"/>
  </cols>
  <sheetData>
    <row r="1" spans="1:11">
      <c r="B1" s="164"/>
      <c r="C1" s="164"/>
      <c r="D1" s="164"/>
      <c r="E1" s="164"/>
      <c r="F1" s="237" t="str">
        <f>ver</f>
        <v>Ver 21</v>
      </c>
      <c r="G1" s="164"/>
      <c r="H1" s="164"/>
      <c r="I1" s="164"/>
      <c r="J1" s="164"/>
      <c r="K1" s="164"/>
    </row>
    <row r="2" spans="1:11" ht="20">
      <c r="A2" s="157" t="s">
        <v>123</v>
      </c>
      <c r="B2" s="166"/>
      <c r="C2" s="166"/>
      <c r="D2" s="166"/>
      <c r="E2" s="166"/>
      <c r="F2" s="166"/>
      <c r="G2" s="164"/>
      <c r="H2" s="164"/>
      <c r="I2" s="164"/>
      <c r="J2" s="164"/>
      <c r="K2" s="164"/>
    </row>
    <row r="3" spans="1:11" ht="13">
      <c r="B3" s="209" t="str">
        <f>IF(inst_multi_maxer&lt;&gt;3,"VOID, VOID, VOID, VOID, VOID, VOID, VOID, VOID, VOID, VOID, VOID, VOID","")</f>
        <v>VOID, VOID, VOID, VOID, VOID, VOID, VOID, VOID, VOID, VOID, VOID, VOID</v>
      </c>
      <c r="C3" s="167"/>
      <c r="D3" s="167"/>
      <c r="E3" s="95"/>
      <c r="F3" s="211"/>
      <c r="G3" s="164"/>
      <c r="H3" s="164"/>
      <c r="I3" s="164"/>
      <c r="J3" s="164"/>
      <c r="K3" s="164"/>
    </row>
    <row r="4" spans="1:11" ht="13">
      <c r="B4" s="164"/>
      <c r="C4" s="164"/>
      <c r="D4" s="164"/>
      <c r="E4" s="273" t="s">
        <v>255</v>
      </c>
      <c r="F4" s="183">
        <f>inst_report_no</f>
        <v>0</v>
      </c>
      <c r="G4" s="164"/>
      <c r="H4" s="164"/>
      <c r="I4" s="164"/>
      <c r="J4" s="164"/>
      <c r="K4" s="164"/>
    </row>
    <row r="5" spans="1:11" ht="13">
      <c r="B5" s="164"/>
      <c r="C5" s="164"/>
      <c r="D5" s="164"/>
      <c r="E5" s="165" t="s">
        <v>256</v>
      </c>
      <c r="F5" s="183">
        <f>E59</f>
        <v>0</v>
      </c>
      <c r="G5" s="164"/>
      <c r="H5" s="164"/>
      <c r="I5" s="164"/>
      <c r="J5" s="164"/>
      <c r="K5" s="164"/>
    </row>
    <row r="6" spans="1:11" ht="13">
      <c r="B6" s="164"/>
      <c r="C6" s="164"/>
      <c r="D6" s="164"/>
      <c r="E6" s="273" t="s">
        <v>251</v>
      </c>
      <c r="F6" s="183" t="str">
        <f>IF(ISBLANK(inst_conv_no),"",inst_conv_no)</f>
        <v/>
      </c>
      <c r="G6" s="164"/>
      <c r="H6" s="164"/>
      <c r="I6" s="164"/>
      <c r="J6" s="164"/>
      <c r="K6" s="164"/>
    </row>
    <row r="7" spans="1:11" ht="6" customHeight="1">
      <c r="B7" s="164"/>
      <c r="C7" s="164"/>
      <c r="D7" s="164"/>
      <c r="E7" s="165"/>
      <c r="F7" s="168"/>
      <c r="G7" s="164"/>
      <c r="H7" s="164"/>
      <c r="I7" s="164"/>
      <c r="J7" s="164"/>
      <c r="K7" s="164"/>
    </row>
    <row r="8" spans="1:11">
      <c r="B8" s="169" t="s">
        <v>125</v>
      </c>
      <c r="C8" s="191"/>
      <c r="D8" s="170"/>
      <c r="E8" s="170"/>
      <c r="F8" s="171"/>
      <c r="G8" s="164"/>
      <c r="H8" s="164"/>
      <c r="I8" s="164"/>
      <c r="J8" s="164"/>
      <c r="K8" s="164"/>
    </row>
    <row r="9" spans="1:11" ht="13">
      <c r="B9" s="172"/>
      <c r="C9" s="97"/>
      <c r="D9" s="97"/>
      <c r="E9" s="158" t="s">
        <v>252</v>
      </c>
      <c r="F9" s="178">
        <f>inst_inst_no</f>
        <v>0</v>
      </c>
      <c r="G9" s="164"/>
      <c r="H9" s="164"/>
      <c r="I9" s="164"/>
      <c r="J9" s="164"/>
      <c r="K9" s="164"/>
    </row>
    <row r="10" spans="1:11" ht="13">
      <c r="B10" s="172"/>
      <c r="C10" s="97"/>
      <c r="D10" s="97"/>
      <c r="E10" s="158" t="s">
        <v>258</v>
      </c>
      <c r="F10" s="175">
        <f>inst_model</f>
        <v>0</v>
      </c>
      <c r="G10" s="164"/>
      <c r="H10" s="164"/>
      <c r="I10" s="164"/>
      <c r="J10" s="164"/>
      <c r="K10" s="164"/>
    </row>
    <row r="11" spans="1:11" ht="13">
      <c r="B11" s="172"/>
      <c r="C11" s="97"/>
      <c r="D11" s="97"/>
      <c r="E11" s="176" t="s">
        <v>127</v>
      </c>
      <c r="F11" s="274" t="str">
        <f>inst_operation</f>
        <v>Manufacture of new instrument</v>
      </c>
      <c r="G11" s="164"/>
      <c r="H11" s="164"/>
      <c r="I11" s="164"/>
      <c r="J11" s="164"/>
      <c r="K11" s="164"/>
    </row>
    <row r="12" spans="1:11" ht="13">
      <c r="B12" s="172"/>
      <c r="C12" s="97"/>
      <c r="D12" s="97"/>
      <c r="E12" s="173" t="s">
        <v>9</v>
      </c>
      <c r="F12" s="174" t="str">
        <f>inst_cap_type</f>
        <v>Single range</v>
      </c>
      <c r="G12" s="164"/>
      <c r="H12" s="164"/>
      <c r="I12" s="164"/>
      <c r="J12" s="164"/>
      <c r="K12" s="164"/>
    </row>
    <row r="13" spans="1:11" ht="13">
      <c r="B13" s="172"/>
      <c r="C13" s="97"/>
      <c r="D13" s="97"/>
      <c r="E13" s="173" t="s">
        <v>128</v>
      </c>
      <c r="F13" s="174" t="str">
        <f>inst_inst_type</f>
        <v>Full load cell</v>
      </c>
      <c r="G13" s="164"/>
      <c r="H13" s="164"/>
      <c r="I13" s="164"/>
      <c r="J13" s="164"/>
      <c r="K13" s="164"/>
    </row>
    <row r="14" spans="1:11" ht="13">
      <c r="B14" s="172"/>
      <c r="C14" s="97"/>
      <c r="D14" s="97"/>
      <c r="E14" s="173" t="s">
        <v>129</v>
      </c>
      <c r="F14" s="177" t="str">
        <f>inst_recep_type</f>
        <v>Platform</v>
      </c>
      <c r="G14" s="164"/>
      <c r="H14" s="164"/>
      <c r="I14" s="164"/>
      <c r="J14" s="164"/>
      <c r="K14" s="164"/>
    </row>
    <row r="15" spans="1:11" ht="13">
      <c r="B15" s="172"/>
      <c r="C15" s="97"/>
      <c r="D15" s="97"/>
      <c r="E15" s="173" t="s">
        <v>130</v>
      </c>
      <c r="F15" s="178">
        <f>IF(Lookup!H9=1,inst_max_used,"Refer below")</f>
        <v>0</v>
      </c>
      <c r="G15" s="164"/>
      <c r="H15" s="164"/>
      <c r="I15" s="164"/>
      <c r="J15" s="164"/>
      <c r="K15" s="164"/>
    </row>
    <row r="16" spans="1:11" ht="13">
      <c r="B16" s="172"/>
      <c r="C16" s="97"/>
      <c r="D16" s="97"/>
      <c r="E16" s="158" t="s">
        <v>250</v>
      </c>
      <c r="F16" s="178">
        <f>IF(Lookup!H9=1,inst_max_used,"Refer below")</f>
        <v>0</v>
      </c>
      <c r="G16" s="164"/>
      <c r="H16" s="164"/>
      <c r="I16" s="164"/>
      <c r="J16" s="164"/>
      <c r="K16" s="164"/>
    </row>
    <row r="17" spans="2:11" ht="13">
      <c r="B17" s="172"/>
      <c r="C17" s="97"/>
      <c r="D17" s="97"/>
      <c r="E17" s="158" t="s">
        <v>227</v>
      </c>
      <c r="F17" s="178">
        <f>IF(Lookup!G25=1,inst_platform_L,"N/A")</f>
        <v>0</v>
      </c>
      <c r="G17" s="164"/>
      <c r="H17" s="164"/>
      <c r="I17" s="164"/>
      <c r="J17" s="164"/>
      <c r="K17" s="164"/>
    </row>
    <row r="18" spans="2:11" ht="13">
      <c r="B18" s="172"/>
      <c r="C18" s="97"/>
      <c r="D18" s="97"/>
      <c r="E18" s="173" t="s">
        <v>132</v>
      </c>
      <c r="F18" s="178">
        <f>IF(Lookup!G25=1,inst_platform_W,"N/A")</f>
        <v>0</v>
      </c>
      <c r="G18" s="164"/>
      <c r="H18" s="164"/>
      <c r="I18" s="164"/>
      <c r="J18" s="164"/>
      <c r="K18" s="164"/>
    </row>
    <row r="19" spans="2:11" ht="13">
      <c r="B19" s="172"/>
      <c r="C19" s="97"/>
      <c r="D19" s="97"/>
      <c r="E19" s="158" t="s">
        <v>249</v>
      </c>
      <c r="F19" s="178">
        <f>inst_dl</f>
        <v>0</v>
      </c>
      <c r="G19" s="164"/>
      <c r="H19" s="164"/>
      <c r="I19" s="164"/>
      <c r="J19" s="164"/>
      <c r="K19" s="164"/>
    </row>
    <row r="20" spans="2:11" ht="13">
      <c r="B20" s="172"/>
      <c r="C20" s="97"/>
      <c r="D20" s="97"/>
      <c r="E20" s="173" t="s">
        <v>228</v>
      </c>
      <c r="F20" s="178">
        <f>inst_N</f>
        <v>0</v>
      </c>
      <c r="H20" s="164"/>
      <c r="I20" s="164"/>
      <c r="J20" s="164"/>
      <c r="K20" s="164"/>
    </row>
    <row r="21" spans="2:11" ht="13">
      <c r="B21" s="179"/>
      <c r="C21" s="180"/>
      <c r="D21" s="180"/>
      <c r="E21" s="181" t="s">
        <v>229</v>
      </c>
      <c r="F21" s="182" t="str">
        <f>IF(Lookup!H3=2,inst_R,"n/a")</f>
        <v>n/a</v>
      </c>
      <c r="G21" s="164"/>
      <c r="H21" s="164"/>
      <c r="I21" s="164"/>
      <c r="J21" s="164"/>
      <c r="K21" s="164"/>
    </row>
    <row r="22" spans="2:11" ht="6" customHeight="1">
      <c r="B22" s="210"/>
      <c r="C22" s="97"/>
      <c r="D22" s="97"/>
      <c r="E22" s="173"/>
      <c r="F22" s="192"/>
      <c r="G22" s="164"/>
      <c r="H22" s="164"/>
      <c r="I22" s="164"/>
      <c r="J22" s="164"/>
      <c r="K22" s="164"/>
    </row>
    <row r="23" spans="2:11" ht="13">
      <c r="B23" s="184" t="str">
        <f>IF(Lookup!H9=1,"Multiple range/Multi-interval",inst_cap_type)</f>
        <v>Multiple range/Multi-interval</v>
      </c>
      <c r="C23" s="170"/>
      <c r="D23" s="170"/>
      <c r="E23" s="170"/>
      <c r="F23" s="196"/>
      <c r="G23" s="164"/>
      <c r="H23" s="164"/>
      <c r="I23" s="164"/>
      <c r="J23" s="164"/>
      <c r="K23" s="164"/>
    </row>
    <row r="24" spans="2:11">
      <c r="B24" s="172"/>
      <c r="C24" s="97"/>
      <c r="D24" s="193" t="str">
        <f>"from ("&amp;'Instrument specs'!$I$45&amp;")"</f>
        <v>from (kg)</v>
      </c>
      <c r="E24" s="194" t="str">
        <f>"to ("&amp;'Instrument specs'!$I$45&amp;")"</f>
        <v>to (kg)</v>
      </c>
      <c r="F24" s="197" t="str">
        <f>"e ("&amp;'Instrument specs'!$M$45&amp;")"</f>
        <v>e (kg)</v>
      </c>
      <c r="G24" s="164"/>
      <c r="H24" s="164"/>
      <c r="I24" s="164"/>
      <c r="J24" s="164"/>
      <c r="K24" s="164"/>
    </row>
    <row r="25" spans="2:11" ht="13">
      <c r="B25" s="172"/>
      <c r="C25" s="173" t="s">
        <v>32</v>
      </c>
      <c r="D25" s="195">
        <f>'Instrument specs'!G40</f>
        <v>0</v>
      </c>
      <c r="E25" s="195">
        <f>'Instrument specs'!I40</f>
        <v>0</v>
      </c>
      <c r="F25" s="178">
        <f>inst_multi_e_1*inst_multi_e_factor</f>
        <v>0</v>
      </c>
      <c r="G25" s="164"/>
      <c r="H25" s="164"/>
      <c r="I25" s="164"/>
      <c r="J25" s="164"/>
      <c r="K25" s="164"/>
    </row>
    <row r="26" spans="2:11" ht="13">
      <c r="B26" s="172"/>
      <c r="C26" s="173" t="s">
        <v>34</v>
      </c>
      <c r="D26" s="195">
        <f>'Instrument specs'!G41</f>
        <v>0</v>
      </c>
      <c r="E26" s="195">
        <f>'Instrument specs'!I41</f>
        <v>0</v>
      </c>
      <c r="F26" s="178">
        <f>inst_multi_e_2*inst_multi_e_factor</f>
        <v>0</v>
      </c>
      <c r="G26" s="164"/>
      <c r="H26" s="164"/>
      <c r="I26" s="164"/>
      <c r="J26" s="164"/>
      <c r="K26" s="164"/>
    </row>
    <row r="27" spans="2:11" ht="13">
      <c r="B27" s="179"/>
      <c r="C27" s="259" t="s">
        <v>37</v>
      </c>
      <c r="D27" s="198">
        <f>'Instrument specs'!G42</f>
        <v>0</v>
      </c>
      <c r="E27" s="198">
        <f>'Instrument specs'!I42</f>
        <v>0</v>
      </c>
      <c r="F27" s="182">
        <f>inst_multi_e_3*inst_multi_e_factor</f>
        <v>0</v>
      </c>
      <c r="G27" s="164"/>
      <c r="H27" s="164"/>
      <c r="I27" s="164"/>
      <c r="J27" s="164"/>
      <c r="K27" s="164"/>
    </row>
    <row r="28" spans="2:11" ht="5.25" customHeight="1">
      <c r="B28" s="164"/>
      <c r="C28" s="164"/>
      <c r="D28" s="164"/>
      <c r="E28" s="165"/>
      <c r="F28" s="183"/>
      <c r="G28" s="164"/>
      <c r="H28" s="164"/>
      <c r="I28" s="164"/>
      <c r="J28" s="164"/>
      <c r="K28" s="164"/>
    </row>
    <row r="29" spans="2:11">
      <c r="B29" s="184" t="s">
        <v>135</v>
      </c>
      <c r="C29" s="191"/>
      <c r="D29" s="170"/>
      <c r="E29" s="170"/>
      <c r="F29" s="171"/>
      <c r="G29" s="164"/>
      <c r="H29" s="164"/>
      <c r="I29" s="164"/>
      <c r="J29" s="164"/>
      <c r="K29" s="164"/>
    </row>
    <row r="30" spans="2:11" ht="13">
      <c r="B30" s="172"/>
      <c r="C30" s="97"/>
      <c r="D30" s="97"/>
      <c r="E30" s="158" t="s">
        <v>269</v>
      </c>
      <c r="F30" s="178">
        <f>cell_S_No.</f>
        <v>0</v>
      </c>
      <c r="G30" s="164"/>
      <c r="H30" s="164"/>
      <c r="I30" s="164"/>
      <c r="J30" s="164"/>
      <c r="K30" s="164"/>
    </row>
    <row r="31" spans="2:11" ht="13">
      <c r="B31" s="172"/>
      <c r="C31" s="97"/>
      <c r="D31" s="97"/>
      <c r="E31" s="173" t="s">
        <v>5</v>
      </c>
      <c r="F31" s="178">
        <f>cell_make</f>
        <v>0</v>
      </c>
      <c r="G31" s="164"/>
      <c r="H31" s="164"/>
      <c r="I31" s="164"/>
      <c r="J31" s="164"/>
      <c r="K31" s="164"/>
    </row>
    <row r="32" spans="2:11" ht="13">
      <c r="B32" s="172"/>
      <c r="C32" s="97"/>
      <c r="D32" s="97"/>
      <c r="E32" s="173" t="s">
        <v>6</v>
      </c>
      <c r="F32" s="178">
        <f>cell_model</f>
        <v>0</v>
      </c>
      <c r="G32" s="164"/>
      <c r="H32" s="164"/>
      <c r="I32" s="164"/>
      <c r="J32" s="164"/>
      <c r="K32" s="164"/>
    </row>
    <row r="33" spans="2:11" ht="13">
      <c r="B33" s="179"/>
      <c r="C33" s="180"/>
      <c r="D33" s="180"/>
      <c r="E33" s="181" t="s">
        <v>136</v>
      </c>
      <c r="F33" s="182">
        <f>cell_max_cap*cell_max_factor</f>
        <v>0</v>
      </c>
      <c r="G33" s="164"/>
      <c r="H33" s="164"/>
      <c r="I33" s="164"/>
      <c r="J33" s="164"/>
      <c r="K33" s="164"/>
    </row>
    <row r="34" spans="2:11" ht="6" customHeight="1">
      <c r="B34" s="164"/>
      <c r="C34" s="164"/>
      <c r="D34" s="164"/>
      <c r="E34" s="164"/>
      <c r="F34" s="164"/>
      <c r="G34" s="164"/>
      <c r="H34" s="164"/>
      <c r="I34" s="164"/>
      <c r="J34" s="164"/>
      <c r="K34" s="164"/>
    </row>
    <row r="35" spans="2:11">
      <c r="B35" s="184" t="s">
        <v>137</v>
      </c>
      <c r="C35" s="191"/>
      <c r="D35" s="170"/>
      <c r="E35" s="170"/>
      <c r="F35" s="171"/>
      <c r="G35" s="164"/>
      <c r="H35" s="164"/>
      <c r="I35" s="164"/>
      <c r="J35" s="164"/>
      <c r="K35" s="164"/>
    </row>
    <row r="36" spans="2:11" ht="13">
      <c r="B36" s="172"/>
      <c r="C36" s="97"/>
      <c r="D36" s="97"/>
      <c r="E36" s="158" t="s">
        <v>269</v>
      </c>
      <c r="F36" s="178">
        <f>ind_S_No.</f>
        <v>0</v>
      </c>
      <c r="G36" s="164"/>
      <c r="H36" s="164"/>
      <c r="I36" s="164"/>
      <c r="J36" s="164"/>
      <c r="K36" s="164"/>
    </row>
    <row r="37" spans="2:11" ht="13">
      <c r="B37" s="172"/>
      <c r="C37" s="97"/>
      <c r="D37" s="97"/>
      <c r="E37" s="173" t="s">
        <v>5</v>
      </c>
      <c r="F37" s="178">
        <f>ind_make</f>
        <v>0</v>
      </c>
      <c r="G37" s="164"/>
      <c r="H37" s="164"/>
      <c r="I37" s="164"/>
      <c r="J37" s="164"/>
      <c r="K37" s="164"/>
    </row>
    <row r="38" spans="2:11" ht="13">
      <c r="B38" s="179"/>
      <c r="C38" s="180"/>
      <c r="D38" s="180"/>
      <c r="E38" s="181" t="s">
        <v>6</v>
      </c>
      <c r="F38" s="182">
        <f>ind_model</f>
        <v>0</v>
      </c>
      <c r="G38" s="164"/>
      <c r="H38" s="164"/>
      <c r="I38" s="164"/>
      <c r="J38" s="164"/>
      <c r="K38" s="164"/>
    </row>
    <row r="39" spans="2:11" ht="6" customHeight="1">
      <c r="B39" s="164"/>
      <c r="C39" s="164"/>
      <c r="D39" s="164"/>
      <c r="E39" s="164"/>
      <c r="F39" s="164"/>
      <c r="G39" s="164"/>
      <c r="H39" s="164"/>
      <c r="I39" s="164"/>
      <c r="J39" s="164"/>
      <c r="K39" s="164"/>
    </row>
    <row r="40" spans="2:11">
      <c r="B40" s="185" t="s">
        <v>138</v>
      </c>
      <c r="C40" s="170"/>
      <c r="D40" s="170"/>
      <c r="E40" s="170"/>
      <c r="F40" s="171"/>
      <c r="G40" s="164"/>
      <c r="H40" s="164"/>
      <c r="I40" s="164"/>
      <c r="J40" s="164"/>
      <c r="K40" s="164"/>
    </row>
    <row r="41" spans="2:11" ht="13">
      <c r="B41" s="172"/>
      <c r="C41" s="97"/>
      <c r="D41" s="97"/>
      <c r="E41" s="97"/>
      <c r="F41" s="233" t="str">
        <f ca="1">IF(AND('Instrument specs'!$N$7&lt;&gt;"",'Instrument specs'!$N$7&lt;&gt;TODAY()),"Note: Date for checking certificate expiry different from today","")</f>
        <v/>
      </c>
      <c r="G41" s="164"/>
      <c r="H41" s="164"/>
      <c r="I41" s="164"/>
      <c r="J41" s="164"/>
      <c r="K41" s="164"/>
    </row>
    <row r="42" spans="2:11" ht="13">
      <c r="B42" s="172"/>
      <c r="C42" s="97"/>
      <c r="D42" s="97"/>
      <c r="E42" s="158" t="s">
        <v>139</v>
      </c>
      <c r="F42" s="186" t="str">
        <f>'6B0 Analysis'!Q11</f>
        <v>NOT ACCEPTABLE</v>
      </c>
      <c r="G42" s="164"/>
      <c r="H42" s="164"/>
      <c r="I42" s="164"/>
      <c r="J42" s="164"/>
      <c r="K42" s="164"/>
    </row>
    <row r="43" spans="2:11" ht="13">
      <c r="B43" s="172"/>
      <c r="C43" s="97"/>
      <c r="D43" s="97"/>
      <c r="E43" s="158" t="s">
        <v>140</v>
      </c>
      <c r="F43" s="186" t="str">
        <f>'6B0 Analysis'!Q16</f>
        <v>ACCEPTABLE</v>
      </c>
      <c r="G43" s="164"/>
      <c r="H43" s="164"/>
      <c r="I43" s="164"/>
      <c r="J43" s="164"/>
      <c r="K43" s="164"/>
    </row>
    <row r="44" spans="2:11" ht="13">
      <c r="B44" s="172"/>
      <c r="C44" s="97"/>
      <c r="D44" s="97"/>
      <c r="E44" s="158" t="s">
        <v>141</v>
      </c>
      <c r="F44" s="186" t="str">
        <f>'6B0 Analysis'!Q20</f>
        <v>ACCEPTABLE</v>
      </c>
      <c r="G44" s="164"/>
      <c r="H44" s="164"/>
      <c r="I44" s="164"/>
      <c r="J44" s="164"/>
      <c r="K44" s="164"/>
    </row>
    <row r="45" spans="2:11" ht="13">
      <c r="B45" s="172"/>
      <c r="C45" s="97"/>
      <c r="D45" s="97"/>
      <c r="E45" s="173" t="s">
        <v>142</v>
      </c>
      <c r="F45" s="186" t="e">
        <f>'6B0 Analysis'!Q34</f>
        <v>#DIV/0!</v>
      </c>
      <c r="G45" s="164"/>
      <c r="H45" s="164"/>
      <c r="I45" s="164"/>
      <c r="J45" s="164"/>
      <c r="K45" s="164"/>
    </row>
    <row r="46" spans="2:11" ht="13">
      <c r="B46" s="172"/>
      <c r="C46" s="97"/>
      <c r="D46" s="97"/>
      <c r="E46" s="158" t="s">
        <v>262</v>
      </c>
      <c r="F46" s="186" t="e">
        <f>'6B0 Analysis'!Q54</f>
        <v>#DIV/0!</v>
      </c>
      <c r="G46" s="164"/>
      <c r="H46" s="164"/>
      <c r="I46" s="164"/>
      <c r="J46" s="164"/>
      <c r="K46" s="164"/>
    </row>
    <row r="47" spans="2:11" ht="13">
      <c r="B47" s="172"/>
      <c r="C47" s="97"/>
      <c r="D47" s="97"/>
      <c r="E47" s="173" t="s">
        <v>143</v>
      </c>
      <c r="F47" s="186" t="str">
        <f>'6B0 Analysis'!Q96</f>
        <v>NOT ACCEPTABLE</v>
      </c>
      <c r="G47" s="164"/>
      <c r="H47" s="164"/>
      <c r="I47" s="164"/>
      <c r="J47" s="164"/>
      <c r="K47" s="164"/>
    </row>
    <row r="48" spans="2:11" ht="13">
      <c r="B48" s="172"/>
      <c r="C48" s="97"/>
      <c r="D48" s="97"/>
      <c r="E48" s="158" t="s">
        <v>259</v>
      </c>
      <c r="F48" s="186" t="str">
        <f>'6B0 Analysis'!Q106</f>
        <v>ACCEPTABLE</v>
      </c>
      <c r="G48" s="164"/>
      <c r="H48" s="164"/>
      <c r="I48" s="164"/>
      <c r="J48" s="164"/>
      <c r="K48" s="164"/>
    </row>
    <row r="49" spans="2:11" ht="13">
      <c r="B49" s="172"/>
      <c r="C49" s="97"/>
      <c r="D49" s="97"/>
      <c r="E49" s="173" t="s">
        <v>144</v>
      </c>
      <c r="F49" s="186" t="e">
        <f>'6B0 Analysis'!Q116</f>
        <v>#DIV/0!</v>
      </c>
      <c r="G49" s="164"/>
      <c r="H49" s="164"/>
      <c r="I49" s="164"/>
      <c r="J49" s="164"/>
      <c r="K49" s="164"/>
    </row>
    <row r="50" spans="2:11" ht="13">
      <c r="B50" s="172"/>
      <c r="C50" s="97"/>
      <c r="D50" s="97"/>
      <c r="E50" s="173" t="s">
        <v>145</v>
      </c>
      <c r="F50" s="186" t="e">
        <f>'6B0 Analysis'!Q124</f>
        <v>#DIV/0!</v>
      </c>
      <c r="G50" s="164"/>
      <c r="H50" s="164"/>
      <c r="I50" s="164"/>
      <c r="J50" s="164"/>
      <c r="K50" s="164"/>
    </row>
    <row r="51" spans="2:11" ht="13">
      <c r="B51" s="172"/>
      <c r="C51" s="97"/>
      <c r="D51" s="97"/>
      <c r="E51" s="158" t="s">
        <v>260</v>
      </c>
      <c r="F51" s="186" t="e">
        <f>'6B0 Analysis'!Q133</f>
        <v>#DIV/0!</v>
      </c>
      <c r="G51" s="164"/>
      <c r="H51" s="164"/>
      <c r="I51" s="164"/>
      <c r="J51" s="164"/>
      <c r="K51" s="164"/>
    </row>
    <row r="52" spans="2:11" ht="13">
      <c r="B52" s="179"/>
      <c r="C52" s="180"/>
      <c r="D52" s="180"/>
      <c r="E52" s="181" t="s">
        <v>121</v>
      </c>
      <c r="F52" s="207" t="str">
        <f>'6B0 Analysis'!I135</f>
        <v>NOT ACCEPTABLE</v>
      </c>
      <c r="G52" s="164"/>
      <c r="H52" s="164"/>
      <c r="I52" s="164"/>
      <c r="J52" s="164"/>
      <c r="K52" s="164"/>
    </row>
    <row r="53" spans="2:11">
      <c r="B53" s="277" t="str">
        <f>'6B0 Analysis'!D137</f>
        <v>Note: 'Acceptable' is in regard to calculations included in this spreadsheet only. All requirements of 6B/0 need to be considered.</v>
      </c>
      <c r="C53" s="164"/>
      <c r="D53" s="164"/>
      <c r="E53" s="164"/>
      <c r="F53" s="164"/>
      <c r="G53" s="164"/>
      <c r="H53" s="164"/>
      <c r="I53" s="164"/>
      <c r="J53" s="164"/>
      <c r="K53" s="164"/>
    </row>
    <row r="54" spans="2:11">
      <c r="B54" s="285" t="str">
        <f>'6B0 Analysis'!D138</f>
        <v/>
      </c>
      <c r="C54" s="164"/>
      <c r="D54" s="164"/>
      <c r="E54" s="164"/>
      <c r="F54" s="164"/>
      <c r="G54" s="164"/>
      <c r="H54" s="164"/>
      <c r="I54" s="164"/>
      <c r="J54" s="164"/>
      <c r="K54" s="164"/>
    </row>
    <row r="55" spans="2:11">
      <c r="B55" s="285" t="str">
        <f>'6B0 Analysis'!D139</f>
        <v/>
      </c>
      <c r="C55" s="164"/>
      <c r="D55" s="164"/>
      <c r="E55" s="164"/>
      <c r="F55" s="164"/>
      <c r="G55" s="164"/>
      <c r="H55" s="164"/>
      <c r="I55" s="164"/>
      <c r="J55" s="164"/>
      <c r="K55" s="164"/>
    </row>
    <row r="56" spans="2:11" ht="9" customHeight="1">
      <c r="B56" s="164"/>
      <c r="C56" s="164"/>
      <c r="D56" s="164"/>
      <c r="E56" s="164"/>
      <c r="F56" s="164"/>
      <c r="G56" s="164"/>
      <c r="H56" s="164"/>
      <c r="I56" s="164"/>
      <c r="J56" s="164"/>
      <c r="K56" s="164"/>
    </row>
    <row r="57" spans="2:11">
      <c r="B57" s="164"/>
      <c r="C57" s="164"/>
      <c r="D57" s="2" t="s">
        <v>211</v>
      </c>
      <c r="E57" s="187">
        <f>inst_submittor_name</f>
        <v>0</v>
      </c>
      <c r="F57" s="164"/>
      <c r="G57" s="164"/>
      <c r="H57" s="164"/>
      <c r="I57" s="164"/>
      <c r="J57" s="164"/>
      <c r="K57" s="164"/>
    </row>
    <row r="58" spans="2:11">
      <c r="B58" s="164"/>
      <c r="C58" s="164"/>
      <c r="D58" s="2" t="s">
        <v>212</v>
      </c>
      <c r="E58" s="187">
        <f>inst_submittor_org</f>
        <v>0</v>
      </c>
      <c r="F58" s="164"/>
      <c r="G58" s="164"/>
      <c r="H58" s="164"/>
      <c r="I58" s="164"/>
      <c r="J58" s="164"/>
      <c r="K58" s="164"/>
    </row>
    <row r="59" spans="2:11">
      <c r="B59" s="164"/>
      <c r="C59" s="164"/>
      <c r="D59" s="2" t="s">
        <v>213</v>
      </c>
      <c r="E59" s="187">
        <f>inst_submittor_pos</f>
        <v>0</v>
      </c>
      <c r="F59" s="164"/>
      <c r="G59" s="164"/>
      <c r="H59" s="164"/>
      <c r="I59" s="164"/>
      <c r="J59" s="164"/>
      <c r="K59" s="164"/>
    </row>
    <row r="60" spans="2:11" ht="13">
      <c r="B60" s="164"/>
      <c r="C60" s="164"/>
      <c r="D60" s="272" t="s">
        <v>245</v>
      </c>
      <c r="E60" s="281" t="str">
        <f>IF('Instrument specs'!$N$7="","date not entered",'Instrument specs'!$N$7)</f>
        <v>date not entered</v>
      </c>
      <c r="F60" s="234" t="str">
        <f ca="1">IF(AND('Instrument specs'!$N$7&lt;&gt;"",'Instrument specs'!$N$7&lt;&gt;TODAY()),"Note: Date different from today","")</f>
        <v/>
      </c>
      <c r="G60" s="164"/>
      <c r="H60" s="164"/>
      <c r="I60" s="164"/>
      <c r="J60" s="164"/>
      <c r="K60" s="164"/>
    </row>
    <row r="61" spans="2:11">
      <c r="B61" s="164"/>
      <c r="C61" s="164"/>
      <c r="D61" s="164"/>
      <c r="E61" s="164"/>
      <c r="F61" s="164"/>
      <c r="G61" s="164"/>
      <c r="H61" s="164"/>
      <c r="I61" s="164"/>
      <c r="J61" s="164"/>
      <c r="K61" s="164"/>
    </row>
    <row r="62" spans="2:11">
      <c r="B62" s="164"/>
      <c r="C62" s="164"/>
      <c r="D62" s="164"/>
      <c r="E62" s="164"/>
      <c r="F62" s="164"/>
      <c r="G62" s="164"/>
      <c r="H62" s="164"/>
      <c r="I62" s="164"/>
      <c r="J62" s="164"/>
      <c r="K62" s="164"/>
    </row>
    <row r="63" spans="2:11">
      <c r="B63" s="164"/>
      <c r="C63" s="164"/>
      <c r="D63" s="164"/>
      <c r="E63" s="164"/>
      <c r="F63" s="164"/>
      <c r="G63" s="164"/>
      <c r="H63" s="164"/>
      <c r="I63" s="164"/>
      <c r="J63" s="164"/>
      <c r="K63" s="164"/>
    </row>
    <row r="64" spans="2:11">
      <c r="B64" s="164"/>
      <c r="C64" s="164"/>
      <c r="D64" s="164"/>
      <c r="E64" s="164"/>
      <c r="F64" s="164"/>
      <c r="G64" s="164"/>
      <c r="H64" s="164"/>
      <c r="I64" s="164"/>
      <c r="J64" s="164"/>
      <c r="K64" s="164"/>
    </row>
    <row r="65" spans="2:11">
      <c r="B65" s="164"/>
      <c r="C65" s="164"/>
      <c r="D65" s="164"/>
      <c r="E65" s="164"/>
      <c r="F65" s="164"/>
      <c r="G65" s="164"/>
      <c r="H65" s="164"/>
      <c r="I65" s="164"/>
      <c r="J65" s="164"/>
      <c r="K65" s="164"/>
    </row>
    <row r="66" spans="2:11">
      <c r="B66" s="164"/>
      <c r="C66" s="164"/>
      <c r="D66" s="164"/>
      <c r="E66" s="164"/>
      <c r="F66" s="164"/>
      <c r="G66" s="164"/>
      <c r="H66" s="164"/>
      <c r="I66" s="164"/>
      <c r="J66" s="164"/>
      <c r="K66" s="164"/>
    </row>
    <row r="67" spans="2:11">
      <c r="B67" s="164"/>
      <c r="C67" s="164"/>
      <c r="D67" s="164"/>
      <c r="E67" s="164"/>
      <c r="F67" s="164"/>
      <c r="G67" s="164"/>
      <c r="H67" s="164"/>
      <c r="I67" s="164"/>
      <c r="J67" s="164"/>
      <c r="K67" s="164"/>
    </row>
    <row r="68" spans="2:11">
      <c r="B68" s="164"/>
      <c r="C68" s="164"/>
      <c r="D68" s="164"/>
      <c r="E68" s="164"/>
      <c r="F68" s="164"/>
      <c r="G68" s="164"/>
      <c r="H68" s="164"/>
      <c r="I68" s="164"/>
      <c r="J68" s="164"/>
      <c r="K68" s="164"/>
    </row>
    <row r="69" spans="2:11">
      <c r="B69" s="164"/>
      <c r="C69" s="164"/>
      <c r="D69" s="164"/>
      <c r="E69" s="164"/>
      <c r="F69" s="164"/>
      <c r="G69" s="164"/>
      <c r="H69" s="164"/>
      <c r="I69" s="164"/>
      <c r="J69" s="164"/>
      <c r="K69" s="164"/>
    </row>
    <row r="70" spans="2:11">
      <c r="B70" s="164"/>
      <c r="C70" s="164"/>
      <c r="D70" s="164"/>
      <c r="E70" s="164"/>
      <c r="F70" s="164"/>
      <c r="G70" s="164"/>
      <c r="H70" s="164"/>
      <c r="I70" s="164"/>
      <c r="J70" s="164"/>
      <c r="K70" s="164"/>
    </row>
    <row r="71" spans="2:11">
      <c r="B71" s="164"/>
      <c r="C71" s="164"/>
      <c r="D71" s="164"/>
      <c r="E71" s="164"/>
      <c r="F71" s="164"/>
      <c r="G71" s="164"/>
      <c r="H71" s="164"/>
      <c r="I71" s="164"/>
      <c r="J71" s="164"/>
      <c r="K71" s="164"/>
    </row>
    <row r="72" spans="2:11">
      <c r="B72" s="164"/>
      <c r="C72" s="164"/>
      <c r="D72" s="164"/>
      <c r="E72" s="164"/>
      <c r="F72" s="164"/>
      <c r="G72" s="164"/>
      <c r="H72" s="164"/>
      <c r="I72" s="164"/>
      <c r="J72" s="164"/>
      <c r="K72" s="164"/>
    </row>
    <row r="73" spans="2:11">
      <c r="B73" s="164"/>
      <c r="C73" s="164"/>
      <c r="D73" s="164"/>
      <c r="E73" s="164"/>
      <c r="F73" s="164"/>
      <c r="G73" s="164"/>
      <c r="H73" s="164"/>
      <c r="I73" s="164"/>
      <c r="J73" s="164"/>
      <c r="K73" s="164"/>
    </row>
    <row r="74" spans="2:11">
      <c r="B74" s="164"/>
      <c r="C74" s="164"/>
      <c r="D74" s="164"/>
      <c r="E74" s="164"/>
      <c r="F74" s="164"/>
      <c r="G74" s="164"/>
      <c r="H74" s="164"/>
      <c r="I74" s="164"/>
      <c r="J74" s="164"/>
      <c r="K74" s="164"/>
    </row>
    <row r="75" spans="2:11">
      <c r="B75" s="164"/>
      <c r="C75" s="164"/>
      <c r="D75" s="164"/>
      <c r="E75" s="164"/>
      <c r="F75" s="164"/>
      <c r="G75" s="164"/>
      <c r="H75" s="164"/>
      <c r="I75" s="164"/>
      <c r="J75" s="164"/>
      <c r="K75" s="164"/>
    </row>
    <row r="76" spans="2:11">
      <c r="B76" s="164"/>
      <c r="C76" s="164"/>
      <c r="D76" s="164"/>
      <c r="E76" s="164"/>
      <c r="F76" s="164"/>
      <c r="G76" s="164"/>
      <c r="H76" s="164"/>
      <c r="I76" s="164"/>
      <c r="J76" s="164"/>
      <c r="K76" s="164"/>
    </row>
    <row r="77" spans="2:11">
      <c r="B77" s="164"/>
      <c r="C77" s="164"/>
      <c r="D77" s="164"/>
      <c r="E77" s="164"/>
      <c r="F77" s="164"/>
      <c r="G77" s="164"/>
      <c r="H77" s="164"/>
      <c r="I77" s="164"/>
      <c r="J77" s="164"/>
      <c r="K77" s="164"/>
    </row>
    <row r="78" spans="2:11">
      <c r="B78" s="164"/>
      <c r="C78" s="164"/>
      <c r="D78" s="164"/>
      <c r="E78" s="164"/>
      <c r="F78" s="164"/>
      <c r="G78" s="164"/>
      <c r="H78" s="164"/>
      <c r="I78" s="164"/>
      <c r="J78" s="164"/>
      <c r="K78" s="164"/>
    </row>
    <row r="79" spans="2:11">
      <c r="B79" s="164"/>
      <c r="C79" s="164"/>
      <c r="D79" s="164"/>
      <c r="E79" s="164"/>
      <c r="F79" s="164"/>
      <c r="G79" s="164"/>
      <c r="H79" s="164"/>
      <c r="I79" s="164"/>
      <c r="J79" s="164"/>
      <c r="K79" s="164"/>
    </row>
    <row r="80" spans="2:11">
      <c r="B80" s="164"/>
      <c r="C80" s="164"/>
      <c r="D80" s="164"/>
      <c r="E80" s="164"/>
      <c r="F80" s="164"/>
      <c r="G80" s="164"/>
      <c r="H80" s="164"/>
      <c r="I80" s="164"/>
      <c r="J80" s="164"/>
      <c r="K80" s="164"/>
    </row>
    <row r="81" spans="2:11">
      <c r="B81" s="164"/>
      <c r="C81" s="164"/>
      <c r="D81" s="164"/>
      <c r="E81" s="164"/>
      <c r="F81" s="164"/>
      <c r="G81" s="164"/>
      <c r="H81" s="164"/>
      <c r="I81" s="164"/>
      <c r="J81" s="164"/>
      <c r="K81" s="164"/>
    </row>
    <row r="82" spans="2:11">
      <c r="B82" s="164"/>
      <c r="C82" s="164"/>
      <c r="D82" s="164"/>
      <c r="E82" s="164"/>
      <c r="F82" s="164"/>
      <c r="G82" s="164"/>
      <c r="H82" s="164"/>
      <c r="I82" s="164"/>
      <c r="J82" s="164"/>
      <c r="K82" s="164"/>
    </row>
    <row r="83" spans="2:11">
      <c r="B83" s="164"/>
      <c r="C83" s="164"/>
      <c r="D83" s="164"/>
      <c r="E83" s="164"/>
      <c r="F83" s="164"/>
      <c r="G83" s="164"/>
      <c r="H83" s="164"/>
      <c r="I83" s="164"/>
      <c r="J83" s="164"/>
      <c r="K83" s="164"/>
    </row>
    <row r="84" spans="2:11">
      <c r="B84" s="164"/>
      <c r="C84" s="164"/>
      <c r="D84" s="164"/>
      <c r="E84" s="164"/>
      <c r="F84" s="164"/>
      <c r="G84" s="164"/>
      <c r="H84" s="164"/>
      <c r="I84" s="164"/>
      <c r="J84" s="164"/>
      <c r="K84" s="164"/>
    </row>
    <row r="85" spans="2:11">
      <c r="B85" s="164"/>
      <c r="C85" s="164"/>
      <c r="D85" s="164"/>
      <c r="E85" s="164"/>
      <c r="F85" s="164"/>
      <c r="G85" s="164"/>
      <c r="H85" s="164"/>
      <c r="I85" s="164"/>
      <c r="J85" s="164"/>
      <c r="K85" s="164"/>
    </row>
    <row r="86" spans="2:11">
      <c r="B86" s="164"/>
      <c r="C86" s="164"/>
      <c r="D86" s="164"/>
      <c r="E86" s="164"/>
      <c r="F86" s="164"/>
      <c r="G86" s="164"/>
      <c r="H86" s="164"/>
      <c r="I86" s="164"/>
      <c r="J86" s="164"/>
      <c r="K86" s="164"/>
    </row>
    <row r="87" spans="2:11">
      <c r="B87" s="164"/>
      <c r="C87" s="164"/>
      <c r="D87" s="164"/>
      <c r="E87" s="164"/>
      <c r="F87" s="164"/>
      <c r="G87" s="164"/>
      <c r="H87" s="164"/>
      <c r="I87" s="164"/>
      <c r="J87" s="164"/>
      <c r="K87" s="164"/>
    </row>
    <row r="88" spans="2:11">
      <c r="B88" s="164"/>
      <c r="C88" s="164"/>
      <c r="D88" s="164"/>
      <c r="E88" s="164"/>
      <c r="F88" s="164"/>
      <c r="G88" s="164"/>
      <c r="H88" s="164"/>
      <c r="I88" s="164"/>
      <c r="J88" s="164"/>
      <c r="K88" s="164"/>
    </row>
    <row r="89" spans="2:11">
      <c r="B89" s="164"/>
      <c r="C89" s="164"/>
      <c r="D89" s="164"/>
      <c r="E89" s="164"/>
      <c r="F89" s="164"/>
      <c r="G89" s="164"/>
      <c r="H89" s="164"/>
      <c r="I89" s="164"/>
      <c r="J89" s="164"/>
      <c r="K89" s="164"/>
    </row>
    <row r="90" spans="2:11">
      <c r="B90" s="164"/>
      <c r="C90" s="164"/>
      <c r="D90" s="164"/>
      <c r="E90" s="164"/>
      <c r="F90" s="164"/>
      <c r="G90" s="164"/>
      <c r="H90" s="164"/>
      <c r="I90" s="164"/>
      <c r="J90" s="164"/>
      <c r="K90" s="164"/>
    </row>
    <row r="91" spans="2:11">
      <c r="B91" s="164"/>
      <c r="C91" s="164"/>
      <c r="D91" s="164"/>
      <c r="E91" s="164"/>
      <c r="F91" s="164"/>
      <c r="G91" s="164"/>
      <c r="H91" s="164"/>
      <c r="I91" s="164"/>
      <c r="J91" s="164"/>
      <c r="K91" s="164"/>
    </row>
    <row r="92" spans="2:11">
      <c r="B92" s="164"/>
      <c r="C92" s="164"/>
      <c r="D92" s="164"/>
      <c r="E92" s="164"/>
      <c r="F92" s="164"/>
      <c r="G92" s="164"/>
      <c r="H92" s="164"/>
      <c r="I92" s="164"/>
      <c r="J92" s="164"/>
      <c r="K92" s="164"/>
    </row>
    <row r="93" spans="2:11">
      <c r="B93" s="164"/>
      <c r="C93" s="164"/>
      <c r="D93" s="164"/>
      <c r="E93" s="164"/>
      <c r="F93" s="164"/>
      <c r="G93" s="164"/>
      <c r="H93" s="164"/>
      <c r="I93" s="164"/>
      <c r="J93" s="164"/>
      <c r="K93" s="164"/>
    </row>
    <row r="94" spans="2:11">
      <c r="B94" s="164"/>
      <c r="C94" s="164"/>
      <c r="D94" s="164"/>
      <c r="E94" s="164"/>
      <c r="F94" s="164"/>
      <c r="G94" s="164"/>
      <c r="H94" s="164"/>
      <c r="I94" s="164"/>
      <c r="J94" s="164"/>
      <c r="K94" s="164"/>
    </row>
    <row r="95" spans="2:11">
      <c r="B95" s="164"/>
      <c r="C95" s="164"/>
      <c r="D95" s="164"/>
      <c r="E95" s="164"/>
      <c r="F95" s="164"/>
      <c r="G95" s="164"/>
      <c r="H95" s="164"/>
      <c r="I95" s="164"/>
      <c r="J95" s="164"/>
      <c r="K95" s="164"/>
    </row>
    <row r="96" spans="2:11">
      <c r="B96" s="164"/>
      <c r="C96" s="164"/>
      <c r="D96" s="164"/>
      <c r="E96" s="164"/>
      <c r="F96" s="164"/>
      <c r="G96" s="164"/>
      <c r="H96" s="164"/>
      <c r="I96" s="164"/>
      <c r="J96" s="164"/>
      <c r="K96" s="164"/>
    </row>
    <row r="97" spans="2:11">
      <c r="B97" s="164"/>
      <c r="C97" s="164"/>
      <c r="D97" s="164"/>
      <c r="E97" s="164"/>
      <c r="F97" s="164"/>
      <c r="G97" s="164"/>
      <c r="H97" s="164"/>
      <c r="I97" s="164"/>
      <c r="J97" s="164"/>
      <c r="K97" s="164"/>
    </row>
    <row r="98" spans="2:11">
      <c r="B98" s="164"/>
      <c r="C98" s="164"/>
      <c r="D98" s="164"/>
      <c r="E98" s="164"/>
      <c r="F98" s="164"/>
      <c r="G98" s="164"/>
      <c r="H98" s="164"/>
      <c r="I98" s="164"/>
      <c r="J98" s="164"/>
      <c r="K98" s="164"/>
    </row>
    <row r="99" spans="2:11">
      <c r="B99" s="164"/>
      <c r="C99" s="164"/>
      <c r="D99" s="164"/>
      <c r="E99" s="164"/>
      <c r="F99" s="164"/>
      <c r="G99" s="164"/>
      <c r="H99" s="164"/>
      <c r="I99" s="164"/>
      <c r="J99" s="164"/>
      <c r="K99" s="164"/>
    </row>
    <row r="100" spans="2:11">
      <c r="B100" s="164"/>
      <c r="C100" s="164"/>
      <c r="D100" s="164"/>
      <c r="E100" s="164"/>
      <c r="F100" s="164"/>
      <c r="G100" s="164"/>
      <c r="H100" s="164"/>
      <c r="I100" s="164"/>
      <c r="J100" s="164"/>
      <c r="K100" s="164"/>
    </row>
    <row r="101" spans="2:11">
      <c r="B101" s="164"/>
      <c r="C101" s="164"/>
      <c r="D101" s="164"/>
      <c r="E101" s="164"/>
      <c r="F101" s="164"/>
      <c r="G101" s="164"/>
      <c r="H101" s="164"/>
      <c r="I101" s="164"/>
      <c r="J101" s="164"/>
      <c r="K101" s="164"/>
    </row>
  </sheetData>
  <sheetProtection password="CC40" sheet="1"/>
  <phoneticPr fontId="0" type="noConversion"/>
  <conditionalFormatting sqref="F52">
    <cfRule type="expression" dxfId="1" priority="1" stopIfTrue="1">
      <formula>$F$52="NOT ACCEPTABLE"</formula>
    </cfRule>
  </conditionalFormatting>
  <pageMargins left="0.2" right="0.2" top="0.3" bottom="0.25" header="0.22" footer="0.2"/>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2"/>
  <sheetViews>
    <sheetView workbookViewId="0">
      <selection activeCell="B55" sqref="B55:B56"/>
    </sheetView>
  </sheetViews>
  <sheetFormatPr defaultRowHeight="12.5"/>
  <cols>
    <col min="1" max="1" width="0.90625" customWidth="1"/>
    <col min="2" max="2" width="5.54296875" customWidth="1"/>
    <col min="3" max="3" width="6.54296875" customWidth="1"/>
    <col min="4" max="5" width="14.36328125" customWidth="1"/>
    <col min="6" max="6" width="56.54296875" customWidth="1"/>
    <col min="7" max="7" width="20" customWidth="1"/>
    <col min="9" max="9" width="3.36328125" customWidth="1"/>
    <col min="10" max="10" width="11" customWidth="1"/>
    <col min="11" max="11" width="10.6328125" customWidth="1"/>
  </cols>
  <sheetData>
    <row r="1" spans="1:11">
      <c r="B1" s="164"/>
      <c r="C1" s="164"/>
      <c r="D1" s="164"/>
      <c r="E1" s="164"/>
      <c r="F1" s="237" t="str">
        <f>ver</f>
        <v>Ver 21</v>
      </c>
      <c r="G1" s="164"/>
      <c r="H1" s="164"/>
      <c r="I1" s="164"/>
      <c r="J1" s="164"/>
      <c r="K1" s="164"/>
    </row>
    <row r="2" spans="1:11" ht="20">
      <c r="A2" s="157" t="s">
        <v>123</v>
      </c>
      <c r="B2" s="166"/>
      <c r="C2" s="166"/>
      <c r="D2" s="166"/>
      <c r="E2" s="166"/>
      <c r="F2" s="166"/>
      <c r="G2" s="164"/>
      <c r="H2" s="164"/>
      <c r="I2" s="164"/>
      <c r="J2" s="164"/>
      <c r="K2" s="164"/>
    </row>
    <row r="3" spans="1:11" ht="13">
      <c r="B3" s="209" t="str">
        <f>IF(inst_multi_maxer&lt;&gt;4,"VOID, VOID, VOID, VOID, VOID, VOID, VOID, VOID, VOID, VOID, VOID, VOID","")</f>
        <v>VOID, VOID, VOID, VOID, VOID, VOID, VOID, VOID, VOID, VOID, VOID, VOID</v>
      </c>
      <c r="C3" s="167"/>
      <c r="D3" s="167"/>
      <c r="E3" s="95"/>
      <c r="F3" s="211"/>
      <c r="G3" s="164"/>
      <c r="H3" s="164"/>
      <c r="I3" s="164"/>
      <c r="J3" s="164"/>
      <c r="K3" s="164"/>
    </row>
    <row r="4" spans="1:11" ht="13">
      <c r="B4" s="164"/>
      <c r="C4" s="164"/>
      <c r="D4" s="164"/>
      <c r="E4" s="273" t="s">
        <v>255</v>
      </c>
      <c r="F4" s="183">
        <f>inst_report_no</f>
        <v>0</v>
      </c>
      <c r="G4" s="164"/>
      <c r="H4" s="164"/>
      <c r="I4" s="164"/>
      <c r="J4" s="164"/>
      <c r="K4" s="164"/>
    </row>
    <row r="5" spans="1:11" ht="13">
      <c r="B5" s="164"/>
      <c r="C5" s="164"/>
      <c r="D5" s="164"/>
      <c r="E5" s="165" t="s">
        <v>124</v>
      </c>
      <c r="F5" s="183">
        <f>E60</f>
        <v>0</v>
      </c>
      <c r="G5" s="164"/>
      <c r="H5" s="164"/>
      <c r="I5" s="164"/>
      <c r="J5" s="164"/>
      <c r="K5" s="164"/>
    </row>
    <row r="6" spans="1:11" ht="13">
      <c r="B6" s="164"/>
      <c r="C6" s="164"/>
      <c r="D6" s="164"/>
      <c r="E6" s="273" t="s">
        <v>253</v>
      </c>
      <c r="F6" s="183" t="str">
        <f>IF(ISBLANK(inst_conv_no),"",inst_conv_no)</f>
        <v/>
      </c>
      <c r="G6" s="164"/>
      <c r="H6" s="164"/>
      <c r="I6" s="164"/>
      <c r="J6" s="164"/>
      <c r="K6" s="164"/>
    </row>
    <row r="7" spans="1:11" ht="6" customHeight="1">
      <c r="B7" s="164"/>
      <c r="C7" s="164"/>
      <c r="D7" s="164"/>
      <c r="E7" s="165"/>
      <c r="F7" s="168"/>
      <c r="G7" s="164"/>
      <c r="H7" s="164"/>
      <c r="I7" s="164"/>
      <c r="J7" s="164"/>
      <c r="K7" s="164"/>
    </row>
    <row r="8" spans="1:11">
      <c r="B8" s="169" t="s">
        <v>125</v>
      </c>
      <c r="C8" s="191"/>
      <c r="D8" s="170"/>
      <c r="E8" s="170"/>
      <c r="F8" s="171"/>
      <c r="G8" s="164"/>
      <c r="H8" s="164"/>
      <c r="I8" s="164"/>
      <c r="J8" s="164"/>
      <c r="K8" s="164"/>
    </row>
    <row r="9" spans="1:11" ht="13">
      <c r="B9" s="172"/>
      <c r="C9" s="97"/>
      <c r="D9" s="97"/>
      <c r="E9" s="158" t="s">
        <v>252</v>
      </c>
      <c r="F9" s="178">
        <f>inst_inst_no</f>
        <v>0</v>
      </c>
      <c r="G9" s="164"/>
      <c r="H9" s="164"/>
      <c r="I9" s="164"/>
      <c r="J9" s="164"/>
      <c r="K9" s="164"/>
    </row>
    <row r="10" spans="1:11" ht="13">
      <c r="B10" s="172"/>
      <c r="C10" s="97"/>
      <c r="D10" s="97"/>
      <c r="E10" s="158" t="s">
        <v>258</v>
      </c>
      <c r="F10" s="175">
        <f>inst_model</f>
        <v>0</v>
      </c>
      <c r="G10" s="164"/>
      <c r="H10" s="164"/>
      <c r="I10" s="164"/>
      <c r="J10" s="164"/>
      <c r="K10" s="164"/>
    </row>
    <row r="11" spans="1:11" ht="13">
      <c r="B11" s="172"/>
      <c r="C11" s="97"/>
      <c r="D11" s="97"/>
      <c r="E11" s="176" t="s">
        <v>127</v>
      </c>
      <c r="F11" s="274" t="str">
        <f>inst_operation</f>
        <v>Manufacture of new instrument</v>
      </c>
      <c r="G11" s="164"/>
      <c r="H11" s="164"/>
      <c r="I11" s="164"/>
      <c r="J11" s="164"/>
      <c r="K11" s="164"/>
    </row>
    <row r="12" spans="1:11" ht="13">
      <c r="B12" s="172"/>
      <c r="C12" s="97"/>
      <c r="D12" s="97"/>
      <c r="E12" s="173" t="s">
        <v>9</v>
      </c>
      <c r="F12" s="174" t="str">
        <f>inst_cap_type</f>
        <v>Single range</v>
      </c>
      <c r="G12" s="164"/>
      <c r="H12" s="164"/>
      <c r="I12" s="164"/>
      <c r="J12" s="164"/>
      <c r="K12" s="164"/>
    </row>
    <row r="13" spans="1:11" ht="13" customHeight="1">
      <c r="B13" s="172"/>
      <c r="C13" s="97"/>
      <c r="D13" s="97"/>
      <c r="E13" s="173" t="s">
        <v>128</v>
      </c>
      <c r="F13" s="174" t="str">
        <f>inst_inst_type</f>
        <v>Full load cell</v>
      </c>
      <c r="G13" s="164"/>
      <c r="H13" s="164"/>
      <c r="I13" s="164"/>
      <c r="J13" s="164"/>
      <c r="K13" s="164"/>
    </row>
    <row r="14" spans="1:11" ht="13" customHeight="1">
      <c r="B14" s="172"/>
      <c r="C14" s="97"/>
      <c r="D14" s="97"/>
      <c r="E14" s="173" t="s">
        <v>129</v>
      </c>
      <c r="F14" s="177" t="str">
        <f>inst_recep_type</f>
        <v>Platform</v>
      </c>
      <c r="G14" s="164"/>
      <c r="H14" s="164"/>
      <c r="I14" s="164"/>
      <c r="J14" s="164"/>
      <c r="K14" s="164"/>
    </row>
    <row r="15" spans="1:11" ht="13">
      <c r="B15" s="172"/>
      <c r="C15" s="97"/>
      <c r="D15" s="97"/>
      <c r="E15" s="173" t="s">
        <v>130</v>
      </c>
      <c r="F15" s="178">
        <f>IF(Lookup!H9=1,inst_max_used,"Refer below")</f>
        <v>0</v>
      </c>
      <c r="G15" s="164"/>
      <c r="H15" s="164"/>
      <c r="I15" s="164"/>
      <c r="J15" s="164"/>
      <c r="K15" s="164"/>
    </row>
    <row r="16" spans="1:11" ht="13">
      <c r="B16" s="172"/>
      <c r="C16" s="97"/>
      <c r="D16" s="97"/>
      <c r="E16" s="173" t="s">
        <v>261</v>
      </c>
      <c r="F16" s="178">
        <f>IF(Lookup!H9=1,inst_max_used,"Refer below")</f>
        <v>0</v>
      </c>
      <c r="G16" s="164"/>
      <c r="H16" s="164"/>
      <c r="I16" s="164"/>
      <c r="J16" s="164"/>
      <c r="K16" s="164"/>
    </row>
    <row r="17" spans="2:11" ht="13">
      <c r="B17" s="172"/>
      <c r="C17" s="97"/>
      <c r="D17" s="97"/>
      <c r="E17" s="173" t="s">
        <v>131</v>
      </c>
      <c r="F17" s="178">
        <f>IF(Lookup!G25=1,inst_platform_L,"N/A")</f>
        <v>0</v>
      </c>
      <c r="G17" s="164"/>
      <c r="H17" s="164"/>
      <c r="I17" s="164"/>
      <c r="J17" s="164"/>
      <c r="K17" s="164"/>
    </row>
    <row r="18" spans="2:11" ht="13">
      <c r="B18" s="172"/>
      <c r="C18" s="97"/>
      <c r="D18" s="97"/>
      <c r="E18" s="173" t="s">
        <v>132</v>
      </c>
      <c r="F18" s="178">
        <f>IF(Lookup!G25=1,inst_platform_W,"N/A")</f>
        <v>0</v>
      </c>
      <c r="G18" s="164"/>
      <c r="H18" s="164"/>
      <c r="I18" s="164"/>
      <c r="J18" s="164"/>
      <c r="K18" s="164"/>
    </row>
    <row r="19" spans="2:11" ht="13">
      <c r="B19" s="172"/>
      <c r="C19" s="97"/>
      <c r="D19" s="97"/>
      <c r="E19" s="158" t="s">
        <v>247</v>
      </c>
      <c r="F19" s="178">
        <f>inst_dl</f>
        <v>0</v>
      </c>
      <c r="G19" s="164"/>
      <c r="H19" s="164"/>
      <c r="I19" s="164"/>
      <c r="J19" s="164"/>
      <c r="K19" s="164"/>
    </row>
    <row r="20" spans="2:11" ht="13">
      <c r="B20" s="172"/>
      <c r="C20" s="97"/>
      <c r="D20" s="97"/>
      <c r="E20" s="173" t="s">
        <v>133</v>
      </c>
      <c r="F20" s="178">
        <f>inst_N</f>
        <v>0</v>
      </c>
      <c r="H20" s="164"/>
      <c r="I20" s="164"/>
      <c r="J20" s="164"/>
      <c r="K20" s="164"/>
    </row>
    <row r="21" spans="2:11" ht="13">
      <c r="B21" s="179"/>
      <c r="C21" s="180"/>
      <c r="D21" s="180"/>
      <c r="E21" s="181" t="s">
        <v>134</v>
      </c>
      <c r="F21" s="182" t="str">
        <f>IF(Lookup!H3=2,inst_R,"n/a")</f>
        <v>n/a</v>
      </c>
      <c r="G21" s="164"/>
      <c r="H21" s="164"/>
      <c r="I21" s="164"/>
      <c r="J21" s="164"/>
      <c r="K21" s="164"/>
    </row>
    <row r="22" spans="2:11" ht="6" customHeight="1">
      <c r="B22" s="210"/>
      <c r="C22" s="97"/>
      <c r="D22" s="97"/>
      <c r="E22" s="173"/>
      <c r="F22" s="192"/>
      <c r="G22" s="164"/>
      <c r="H22" s="164"/>
      <c r="I22" s="164"/>
      <c r="J22" s="164"/>
      <c r="K22" s="164"/>
    </row>
    <row r="23" spans="2:11" ht="13">
      <c r="B23" s="184" t="str">
        <f>IF(Lookup!H9=1,"Multiple range/Multi-interval",inst_cap_type)</f>
        <v>Multiple range/Multi-interval</v>
      </c>
      <c r="C23" s="170"/>
      <c r="D23" s="170"/>
      <c r="E23" s="170"/>
      <c r="F23" s="196"/>
      <c r="G23" s="164"/>
      <c r="H23" s="164"/>
      <c r="I23" s="164"/>
      <c r="J23" s="164"/>
      <c r="K23" s="164"/>
    </row>
    <row r="24" spans="2:11">
      <c r="B24" s="172"/>
      <c r="C24" s="97"/>
      <c r="D24" s="193" t="str">
        <f>"from ("&amp;'Instrument specs'!$I$45&amp;")"</f>
        <v>from (kg)</v>
      </c>
      <c r="E24" s="194" t="str">
        <f>"to ("&amp;'Instrument specs'!$I$45&amp;")"</f>
        <v>to (kg)</v>
      </c>
      <c r="F24" s="197" t="str">
        <f>"e ("&amp;'Instrument specs'!$M$45&amp;")"</f>
        <v>e (kg)</v>
      </c>
      <c r="G24" s="164"/>
      <c r="H24" s="164"/>
      <c r="I24" s="164"/>
      <c r="J24" s="164"/>
      <c r="K24" s="164"/>
    </row>
    <row r="25" spans="2:11" ht="13">
      <c r="B25" s="172"/>
      <c r="C25" s="173" t="s">
        <v>32</v>
      </c>
      <c r="D25" s="195">
        <f>'Instrument specs'!G40</f>
        <v>0</v>
      </c>
      <c r="E25" s="195">
        <f>'Instrument specs'!I40</f>
        <v>0</v>
      </c>
      <c r="F25" s="178">
        <f>inst_multi_e_1*inst_multi_e_factor</f>
        <v>0</v>
      </c>
      <c r="G25" s="164"/>
      <c r="H25" s="164"/>
      <c r="I25" s="164"/>
      <c r="J25" s="164"/>
      <c r="K25" s="164"/>
    </row>
    <row r="26" spans="2:11" ht="13">
      <c r="B26" s="172"/>
      <c r="C26" s="173" t="s">
        <v>34</v>
      </c>
      <c r="D26" s="195">
        <f>'Instrument specs'!G41</f>
        <v>0</v>
      </c>
      <c r="E26" s="195">
        <f>'Instrument specs'!I41</f>
        <v>0</v>
      </c>
      <c r="F26" s="178">
        <f>inst_multi_e_2*inst_multi_e_factor</f>
        <v>0</v>
      </c>
      <c r="G26" s="164"/>
      <c r="H26" s="164"/>
      <c r="I26" s="164"/>
      <c r="J26" s="164"/>
      <c r="K26" s="164"/>
    </row>
    <row r="27" spans="2:11" ht="13">
      <c r="B27" s="172"/>
      <c r="C27" s="173" t="s">
        <v>37</v>
      </c>
      <c r="D27" s="195">
        <f>'Instrument specs'!G42</f>
        <v>0</v>
      </c>
      <c r="E27" s="195">
        <f>'Instrument specs'!I42</f>
        <v>0</v>
      </c>
      <c r="F27" s="178">
        <f>inst_multi_e_2*inst_multi_e_factor</f>
        <v>0</v>
      </c>
      <c r="G27" s="164"/>
      <c r="H27" s="164"/>
      <c r="I27" s="164"/>
      <c r="J27" s="164"/>
      <c r="K27" s="164"/>
    </row>
    <row r="28" spans="2:11" ht="13">
      <c r="B28" s="179"/>
      <c r="C28" s="259" t="s">
        <v>40</v>
      </c>
      <c r="D28" s="198">
        <f>'Instrument specs'!G43</f>
        <v>0</v>
      </c>
      <c r="E28" s="198">
        <f>'Instrument specs'!I43</f>
        <v>0</v>
      </c>
      <c r="F28" s="182">
        <f>inst_multi_e_2*inst_multi_e_factor</f>
        <v>0</v>
      </c>
      <c r="G28" s="164"/>
      <c r="H28" s="164"/>
      <c r="I28" s="164"/>
      <c r="J28" s="164"/>
      <c r="K28" s="164"/>
    </row>
    <row r="29" spans="2:11" ht="5.25" customHeight="1">
      <c r="B29" s="164"/>
      <c r="C29" s="164"/>
      <c r="D29" s="164"/>
      <c r="E29" s="165"/>
      <c r="F29" s="183"/>
      <c r="G29" s="164"/>
      <c r="H29" s="164"/>
      <c r="I29" s="164"/>
      <c r="J29" s="164"/>
      <c r="K29" s="164"/>
    </row>
    <row r="30" spans="2:11">
      <c r="B30" s="184" t="s">
        <v>135</v>
      </c>
      <c r="C30" s="191"/>
      <c r="D30" s="170"/>
      <c r="E30" s="170"/>
      <c r="F30" s="171"/>
      <c r="G30" s="164"/>
      <c r="H30" s="164"/>
      <c r="I30" s="164"/>
      <c r="J30" s="164"/>
      <c r="K30" s="164"/>
    </row>
    <row r="31" spans="2:11" ht="13">
      <c r="B31" s="172"/>
      <c r="C31" s="97"/>
      <c r="D31" s="97"/>
      <c r="E31" s="158" t="s">
        <v>269</v>
      </c>
      <c r="F31" s="178">
        <f>cell_S_No.</f>
        <v>0</v>
      </c>
      <c r="G31" s="164"/>
      <c r="H31" s="164"/>
      <c r="I31" s="164"/>
      <c r="J31" s="164"/>
      <c r="K31" s="164"/>
    </row>
    <row r="32" spans="2:11" ht="13">
      <c r="B32" s="172"/>
      <c r="C32" s="97"/>
      <c r="D32" s="97"/>
      <c r="E32" s="173" t="s">
        <v>5</v>
      </c>
      <c r="F32" s="178">
        <f>cell_make</f>
        <v>0</v>
      </c>
      <c r="G32" s="164"/>
      <c r="H32" s="164"/>
      <c r="I32" s="164"/>
      <c r="J32" s="164"/>
      <c r="K32" s="164"/>
    </row>
    <row r="33" spans="2:11" ht="13">
      <c r="B33" s="172"/>
      <c r="C33" s="97"/>
      <c r="D33" s="97"/>
      <c r="E33" s="173" t="s">
        <v>6</v>
      </c>
      <c r="F33" s="178">
        <f>cell_model</f>
        <v>0</v>
      </c>
      <c r="G33" s="164"/>
      <c r="H33" s="164"/>
      <c r="I33" s="164"/>
      <c r="J33" s="164"/>
      <c r="K33" s="164"/>
    </row>
    <row r="34" spans="2:11" ht="13">
      <c r="B34" s="179"/>
      <c r="C34" s="180"/>
      <c r="D34" s="180"/>
      <c r="E34" s="181" t="s">
        <v>136</v>
      </c>
      <c r="F34" s="182">
        <f>cell_max_cap*cell_max_factor</f>
        <v>0</v>
      </c>
      <c r="G34" s="164"/>
      <c r="H34" s="164"/>
      <c r="I34" s="164"/>
      <c r="J34" s="164"/>
      <c r="K34" s="164"/>
    </row>
    <row r="35" spans="2:11" ht="6" customHeight="1">
      <c r="B35" s="164"/>
      <c r="C35" s="164"/>
      <c r="D35" s="164"/>
      <c r="E35" s="164"/>
      <c r="F35" s="164"/>
      <c r="G35" s="164"/>
      <c r="H35" s="164"/>
      <c r="I35" s="164"/>
      <c r="J35" s="164"/>
      <c r="K35" s="164"/>
    </row>
    <row r="36" spans="2:11">
      <c r="B36" s="184" t="s">
        <v>137</v>
      </c>
      <c r="C36" s="191"/>
      <c r="D36" s="170"/>
      <c r="E36" s="170"/>
      <c r="F36" s="171"/>
      <c r="G36" s="164"/>
      <c r="H36" s="164"/>
      <c r="I36" s="164"/>
      <c r="J36" s="164"/>
      <c r="K36" s="164"/>
    </row>
    <row r="37" spans="2:11" ht="13">
      <c r="B37" s="172"/>
      <c r="C37" s="97"/>
      <c r="D37" s="97"/>
      <c r="E37" s="158" t="s">
        <v>269</v>
      </c>
      <c r="F37" s="178">
        <f>ind_S_No.</f>
        <v>0</v>
      </c>
      <c r="G37" s="164"/>
      <c r="H37" s="164"/>
      <c r="I37" s="164"/>
      <c r="J37" s="164"/>
      <c r="K37" s="164"/>
    </row>
    <row r="38" spans="2:11" ht="13">
      <c r="B38" s="172"/>
      <c r="C38" s="97"/>
      <c r="D38" s="97"/>
      <c r="E38" s="173" t="s">
        <v>5</v>
      </c>
      <c r="F38" s="178">
        <f>ind_make</f>
        <v>0</v>
      </c>
      <c r="G38" s="164"/>
      <c r="H38" s="164"/>
      <c r="I38" s="164"/>
      <c r="J38" s="164"/>
      <c r="K38" s="164"/>
    </row>
    <row r="39" spans="2:11" ht="13">
      <c r="B39" s="179"/>
      <c r="C39" s="180"/>
      <c r="D39" s="180"/>
      <c r="E39" s="181" t="s">
        <v>6</v>
      </c>
      <c r="F39" s="182">
        <f>ind_model</f>
        <v>0</v>
      </c>
      <c r="G39" s="164"/>
      <c r="H39" s="164"/>
      <c r="I39" s="164"/>
      <c r="J39" s="164"/>
      <c r="K39" s="164"/>
    </row>
    <row r="40" spans="2:11" ht="6" customHeight="1">
      <c r="B40" s="164"/>
      <c r="C40" s="164"/>
      <c r="D40" s="164"/>
      <c r="E40" s="164"/>
      <c r="F40" s="164"/>
      <c r="G40" s="164"/>
      <c r="H40" s="164"/>
      <c r="I40" s="164"/>
      <c r="J40" s="164"/>
      <c r="K40" s="164"/>
    </row>
    <row r="41" spans="2:11">
      <c r="B41" s="185" t="s">
        <v>138</v>
      </c>
      <c r="C41" s="170"/>
      <c r="D41" s="170"/>
      <c r="E41" s="170"/>
      <c r="F41" s="171"/>
      <c r="G41" s="164"/>
      <c r="H41" s="164"/>
      <c r="I41" s="164"/>
      <c r="J41" s="164"/>
      <c r="K41" s="164"/>
    </row>
    <row r="42" spans="2:11" ht="13">
      <c r="B42" s="172"/>
      <c r="C42" s="97"/>
      <c r="D42" s="97"/>
      <c r="E42" s="97"/>
      <c r="F42" s="233" t="str">
        <f ca="1">IF(AND('Instrument specs'!$N$7&lt;&gt;"",'Instrument specs'!$N$7&lt;&gt;TODAY()),"Note: Date for checking certificate expiry different from today","")</f>
        <v/>
      </c>
      <c r="G42" s="164"/>
      <c r="H42" s="164"/>
      <c r="I42" s="164"/>
      <c r="J42" s="164"/>
      <c r="K42" s="164"/>
    </row>
    <row r="43" spans="2:11" ht="13">
      <c r="B43" s="172"/>
      <c r="C43" s="97"/>
      <c r="D43" s="97"/>
      <c r="E43" s="158" t="s">
        <v>139</v>
      </c>
      <c r="F43" s="186" t="str">
        <f>'6B0 Analysis'!Q11</f>
        <v>NOT ACCEPTABLE</v>
      </c>
      <c r="G43" s="164"/>
      <c r="H43" s="164"/>
      <c r="I43" s="164"/>
      <c r="J43" s="164"/>
      <c r="K43" s="164"/>
    </row>
    <row r="44" spans="2:11" ht="13">
      <c r="B44" s="172"/>
      <c r="C44" s="97"/>
      <c r="D44" s="97"/>
      <c r="E44" s="158" t="s">
        <v>140</v>
      </c>
      <c r="F44" s="186" t="str">
        <f>'6B0 Analysis'!Q16</f>
        <v>ACCEPTABLE</v>
      </c>
      <c r="G44" s="164"/>
      <c r="H44" s="164"/>
      <c r="I44" s="164"/>
      <c r="J44" s="164"/>
      <c r="K44" s="164"/>
    </row>
    <row r="45" spans="2:11" ht="13">
      <c r="B45" s="172"/>
      <c r="C45" s="97"/>
      <c r="D45" s="97"/>
      <c r="E45" s="158" t="s">
        <v>141</v>
      </c>
      <c r="F45" s="186" t="str">
        <f>'6B0 Analysis'!Q20</f>
        <v>ACCEPTABLE</v>
      </c>
      <c r="G45" s="164"/>
      <c r="H45" s="164"/>
      <c r="I45" s="164"/>
      <c r="J45" s="164"/>
      <c r="K45" s="164"/>
    </row>
    <row r="46" spans="2:11" ht="13">
      <c r="B46" s="172"/>
      <c r="C46" s="97"/>
      <c r="D46" s="97"/>
      <c r="E46" s="158" t="s">
        <v>15</v>
      </c>
      <c r="F46" s="186" t="e">
        <f>'6B0 Analysis'!Q34</f>
        <v>#DIV/0!</v>
      </c>
      <c r="G46" s="164"/>
      <c r="H46" s="164"/>
      <c r="I46" s="164"/>
      <c r="J46" s="164"/>
      <c r="K46" s="164"/>
    </row>
    <row r="47" spans="2:11" ht="13">
      <c r="B47" s="172"/>
      <c r="C47" s="97"/>
      <c r="D47" s="97"/>
      <c r="E47" s="158" t="s">
        <v>248</v>
      </c>
      <c r="F47" s="186" t="e">
        <f>'6B0 Analysis'!Q54</f>
        <v>#DIV/0!</v>
      </c>
      <c r="G47" s="164"/>
      <c r="H47" s="164"/>
      <c r="I47" s="164"/>
      <c r="J47" s="164"/>
      <c r="K47" s="164"/>
    </row>
    <row r="48" spans="2:11" ht="13">
      <c r="B48" s="172"/>
      <c r="C48" s="97"/>
      <c r="D48" s="97"/>
      <c r="E48" s="173" t="s">
        <v>143</v>
      </c>
      <c r="F48" s="186" t="str">
        <f>'6B0 Analysis'!Q96</f>
        <v>NOT ACCEPTABLE</v>
      </c>
      <c r="G48" s="164"/>
      <c r="H48" s="164"/>
      <c r="I48" s="164"/>
      <c r="J48" s="164"/>
      <c r="K48" s="164"/>
    </row>
    <row r="49" spans="2:11" ht="13">
      <c r="B49" s="172"/>
      <c r="C49" s="97"/>
      <c r="D49" s="97"/>
      <c r="E49" s="173" t="s">
        <v>259</v>
      </c>
      <c r="F49" s="186" t="str">
        <f>'6B0 Analysis'!Q106</f>
        <v>ACCEPTABLE</v>
      </c>
      <c r="G49" s="164"/>
      <c r="H49" s="164"/>
      <c r="I49" s="164"/>
      <c r="J49" s="164"/>
      <c r="K49" s="164"/>
    </row>
    <row r="50" spans="2:11" ht="13">
      <c r="B50" s="172"/>
      <c r="C50" s="97"/>
      <c r="D50" s="97"/>
      <c r="E50" s="158" t="s">
        <v>246</v>
      </c>
      <c r="F50" s="186" t="e">
        <f>'6B0 Analysis'!Q116</f>
        <v>#DIV/0!</v>
      </c>
      <c r="G50" s="164"/>
      <c r="H50" s="164"/>
      <c r="I50" s="164"/>
      <c r="J50" s="164"/>
      <c r="K50" s="164"/>
    </row>
    <row r="51" spans="2:11" ht="13">
      <c r="B51" s="172"/>
      <c r="C51" s="97"/>
      <c r="D51" s="97"/>
      <c r="E51" s="173" t="s">
        <v>145</v>
      </c>
      <c r="F51" s="186" t="e">
        <f>'6B0 Analysis'!Q124</f>
        <v>#DIV/0!</v>
      </c>
      <c r="G51" s="164"/>
      <c r="H51" s="164"/>
      <c r="I51" s="164"/>
      <c r="J51" s="164"/>
      <c r="K51" s="164"/>
    </row>
    <row r="52" spans="2:11" ht="13">
      <c r="B52" s="172"/>
      <c r="C52" s="97"/>
      <c r="D52" s="97"/>
      <c r="E52" s="158" t="s">
        <v>260</v>
      </c>
      <c r="F52" s="186" t="e">
        <f>'6B0 Analysis'!Q133</f>
        <v>#DIV/0!</v>
      </c>
      <c r="G52" s="164"/>
      <c r="H52" s="164"/>
      <c r="I52" s="164"/>
      <c r="J52" s="164"/>
      <c r="K52" s="164"/>
    </row>
    <row r="53" spans="2:11" ht="13">
      <c r="B53" s="179"/>
      <c r="C53" s="180"/>
      <c r="D53" s="180"/>
      <c r="E53" s="181" t="s">
        <v>121</v>
      </c>
      <c r="F53" s="207" t="str">
        <f>'6B0 Analysis'!I135</f>
        <v>NOT ACCEPTABLE</v>
      </c>
      <c r="G53" s="164"/>
      <c r="H53" s="164"/>
      <c r="I53" s="164"/>
      <c r="J53" s="164"/>
      <c r="K53" s="164"/>
    </row>
    <row r="54" spans="2:11">
      <c r="B54" s="277" t="str">
        <f>'6B0 Analysis'!D137</f>
        <v>Note: 'Acceptable' is in regard to calculations included in this spreadsheet only. All requirements of 6B/0 need to be considered.</v>
      </c>
      <c r="C54" s="164"/>
      <c r="D54" s="164"/>
      <c r="E54" s="164"/>
      <c r="F54" s="164"/>
      <c r="G54" s="164"/>
      <c r="H54" s="164"/>
      <c r="I54" s="164"/>
      <c r="J54" s="164"/>
      <c r="K54" s="164"/>
    </row>
    <row r="55" spans="2:11">
      <c r="B55" s="285" t="str">
        <f>'6B0 Analysis'!D138</f>
        <v/>
      </c>
      <c r="C55" s="164"/>
      <c r="D55" s="164"/>
      <c r="E55" s="164"/>
      <c r="F55" s="164"/>
      <c r="G55" s="164"/>
      <c r="H55" s="164"/>
      <c r="I55" s="164"/>
      <c r="J55" s="164"/>
      <c r="K55" s="164"/>
    </row>
    <row r="56" spans="2:11">
      <c r="B56" s="285" t="str">
        <f>'6B0 Analysis'!D139</f>
        <v/>
      </c>
      <c r="C56" s="164"/>
      <c r="D56" s="164"/>
      <c r="E56" s="164"/>
      <c r="F56" s="164"/>
      <c r="G56" s="164"/>
      <c r="H56" s="164"/>
      <c r="I56" s="164"/>
      <c r="J56" s="164"/>
      <c r="K56" s="164"/>
    </row>
    <row r="57" spans="2:11" ht="9" customHeight="1">
      <c r="B57" s="164"/>
      <c r="C57" s="164"/>
      <c r="D57" s="164"/>
      <c r="E57" s="164"/>
      <c r="F57" s="164"/>
      <c r="G57" s="164"/>
      <c r="H57" s="164"/>
      <c r="I57" s="164"/>
      <c r="J57" s="164"/>
      <c r="K57" s="164"/>
    </row>
    <row r="58" spans="2:11">
      <c r="B58" s="164"/>
      <c r="C58" s="164"/>
      <c r="D58" s="2" t="s">
        <v>211</v>
      </c>
      <c r="E58" s="187">
        <f>inst_submittor_name</f>
        <v>0</v>
      </c>
      <c r="F58" s="164"/>
      <c r="G58" s="164"/>
      <c r="H58" s="164"/>
      <c r="I58" s="164"/>
      <c r="J58" s="164"/>
      <c r="K58" s="164"/>
    </row>
    <row r="59" spans="2:11">
      <c r="B59" s="164"/>
      <c r="C59" s="164"/>
      <c r="D59" s="2" t="s">
        <v>212</v>
      </c>
      <c r="E59" s="187">
        <f>inst_submittor_org</f>
        <v>0</v>
      </c>
      <c r="F59" s="164"/>
      <c r="G59" s="164"/>
      <c r="H59" s="164"/>
      <c r="I59" s="164"/>
      <c r="J59" s="164"/>
      <c r="K59" s="164"/>
    </row>
    <row r="60" spans="2:11">
      <c r="B60" s="164"/>
      <c r="C60" s="164"/>
      <c r="D60" s="2" t="s">
        <v>213</v>
      </c>
      <c r="E60" s="187">
        <f>inst_submittor_pos</f>
        <v>0</v>
      </c>
      <c r="F60" s="164"/>
      <c r="G60" s="164"/>
      <c r="H60" s="164"/>
      <c r="I60" s="164"/>
      <c r="J60" s="164"/>
      <c r="K60" s="164"/>
    </row>
    <row r="61" spans="2:11" ht="13">
      <c r="B61" s="164"/>
      <c r="C61" s="164"/>
      <c r="D61" s="272" t="s">
        <v>245</v>
      </c>
      <c r="E61" s="281" t="str">
        <f>IF('Instrument specs'!$N$7="","date not entered",'Instrument specs'!$N$7)</f>
        <v>date not entered</v>
      </c>
      <c r="F61" s="234" t="str">
        <f ca="1">IF(AND('Instrument specs'!$N$7&lt;&gt;"",'Instrument specs'!$N$7&lt;&gt;TODAY()),"Note: Date different from today","")</f>
        <v/>
      </c>
      <c r="G61" s="164"/>
      <c r="H61" s="164"/>
      <c r="I61" s="164"/>
      <c r="J61" s="164"/>
      <c r="K61" s="164"/>
    </row>
    <row r="62" spans="2:11">
      <c r="B62" s="164"/>
      <c r="C62" s="164"/>
      <c r="D62" s="164"/>
      <c r="E62" s="164"/>
      <c r="F62" s="164"/>
      <c r="G62" s="164"/>
      <c r="H62" s="164"/>
      <c r="I62" s="164"/>
      <c r="J62" s="164"/>
      <c r="K62" s="164"/>
    </row>
    <row r="63" spans="2:11">
      <c r="B63" s="164"/>
      <c r="C63" s="164"/>
      <c r="D63" s="164"/>
      <c r="E63" s="164"/>
      <c r="F63" s="164"/>
      <c r="G63" s="164"/>
      <c r="H63" s="164"/>
      <c r="I63" s="164"/>
      <c r="J63" s="164"/>
      <c r="K63" s="164"/>
    </row>
    <row r="64" spans="2:11">
      <c r="B64" s="164"/>
      <c r="C64" s="164"/>
      <c r="D64" s="164"/>
      <c r="E64" s="164"/>
      <c r="F64" s="164"/>
      <c r="G64" s="164"/>
      <c r="H64" s="164"/>
      <c r="I64" s="164"/>
      <c r="J64" s="164"/>
      <c r="K64" s="164"/>
    </row>
    <row r="65" spans="2:11">
      <c r="B65" s="164"/>
      <c r="C65" s="164"/>
      <c r="D65" s="164"/>
      <c r="E65" s="164"/>
      <c r="F65" s="164"/>
      <c r="G65" s="164"/>
      <c r="H65" s="164"/>
      <c r="I65" s="164"/>
      <c r="J65" s="164"/>
      <c r="K65" s="164"/>
    </row>
    <row r="66" spans="2:11">
      <c r="B66" s="164"/>
      <c r="C66" s="164"/>
      <c r="D66" s="164"/>
      <c r="E66" s="164"/>
      <c r="F66" s="164"/>
      <c r="G66" s="164"/>
      <c r="H66" s="164"/>
      <c r="I66" s="164"/>
      <c r="J66" s="164"/>
      <c r="K66" s="164"/>
    </row>
    <row r="67" spans="2:11">
      <c r="B67" s="164"/>
      <c r="C67" s="164"/>
      <c r="D67" s="164"/>
      <c r="E67" s="164"/>
      <c r="F67" s="164"/>
      <c r="G67" s="164"/>
      <c r="H67" s="164"/>
      <c r="I67" s="164"/>
      <c r="J67" s="164"/>
      <c r="K67" s="164"/>
    </row>
    <row r="68" spans="2:11">
      <c r="B68" s="164"/>
      <c r="C68" s="164"/>
      <c r="D68" s="164"/>
      <c r="E68" s="164"/>
      <c r="F68" s="164"/>
      <c r="G68" s="164"/>
      <c r="H68" s="164"/>
      <c r="I68" s="164"/>
      <c r="J68" s="164"/>
      <c r="K68" s="164"/>
    </row>
    <row r="69" spans="2:11">
      <c r="B69" s="164"/>
      <c r="C69" s="164"/>
      <c r="D69" s="164"/>
      <c r="E69" s="164"/>
      <c r="F69" s="164"/>
      <c r="G69" s="164"/>
      <c r="H69" s="164"/>
      <c r="I69" s="164"/>
      <c r="J69" s="164"/>
      <c r="K69" s="164"/>
    </row>
    <row r="70" spans="2:11">
      <c r="B70" s="164"/>
      <c r="C70" s="164"/>
      <c r="D70" s="164"/>
      <c r="E70" s="164"/>
      <c r="F70" s="164"/>
      <c r="G70" s="164"/>
      <c r="H70" s="164"/>
      <c r="I70" s="164"/>
      <c r="J70" s="164"/>
      <c r="K70" s="164"/>
    </row>
    <row r="71" spans="2:11">
      <c r="B71" s="164"/>
      <c r="C71" s="164"/>
      <c r="D71" s="164"/>
      <c r="E71" s="164"/>
      <c r="F71" s="164"/>
      <c r="G71" s="164"/>
      <c r="H71" s="164"/>
      <c r="I71" s="164"/>
      <c r="J71" s="164"/>
      <c r="K71" s="164"/>
    </row>
    <row r="72" spans="2:11">
      <c r="B72" s="164"/>
      <c r="C72" s="164"/>
      <c r="D72" s="164"/>
      <c r="E72" s="164"/>
      <c r="F72" s="164"/>
      <c r="G72" s="164"/>
      <c r="H72" s="164"/>
      <c r="I72" s="164"/>
      <c r="J72" s="164"/>
      <c r="K72" s="164"/>
    </row>
    <row r="73" spans="2:11">
      <c r="B73" s="164"/>
      <c r="C73" s="164"/>
      <c r="D73" s="164"/>
      <c r="E73" s="164"/>
      <c r="F73" s="164"/>
      <c r="G73" s="164"/>
      <c r="H73" s="164"/>
      <c r="I73" s="164"/>
      <c r="J73" s="164"/>
      <c r="K73" s="164"/>
    </row>
    <row r="74" spans="2:11">
      <c r="B74" s="164"/>
      <c r="C74" s="164"/>
      <c r="D74" s="164"/>
      <c r="E74" s="164"/>
      <c r="F74" s="164"/>
      <c r="G74" s="164"/>
      <c r="H74" s="164"/>
      <c r="I74" s="164"/>
      <c r="J74" s="164"/>
      <c r="K74" s="164"/>
    </row>
    <row r="75" spans="2:11">
      <c r="B75" s="164"/>
      <c r="C75" s="164"/>
      <c r="D75" s="164"/>
      <c r="E75" s="164"/>
      <c r="F75" s="164"/>
      <c r="G75" s="164"/>
      <c r="H75" s="164"/>
      <c r="I75" s="164"/>
      <c r="J75" s="164"/>
      <c r="K75" s="164"/>
    </row>
    <row r="76" spans="2:11">
      <c r="B76" s="164"/>
      <c r="C76" s="164"/>
      <c r="D76" s="164"/>
      <c r="E76" s="164"/>
      <c r="F76" s="164"/>
      <c r="G76" s="164"/>
      <c r="H76" s="164"/>
      <c r="I76" s="164"/>
      <c r="J76" s="164"/>
      <c r="K76" s="164"/>
    </row>
    <row r="77" spans="2:11">
      <c r="B77" s="164"/>
      <c r="C77" s="164"/>
      <c r="D77" s="164"/>
      <c r="E77" s="164"/>
      <c r="F77" s="164"/>
      <c r="G77" s="164"/>
      <c r="H77" s="164"/>
      <c r="I77" s="164"/>
      <c r="J77" s="164"/>
      <c r="K77" s="164"/>
    </row>
    <row r="78" spans="2:11">
      <c r="B78" s="164"/>
      <c r="C78" s="164"/>
      <c r="D78" s="164"/>
      <c r="E78" s="164"/>
      <c r="F78" s="164"/>
      <c r="G78" s="164"/>
      <c r="H78" s="164"/>
      <c r="I78" s="164"/>
      <c r="J78" s="164"/>
      <c r="K78" s="164"/>
    </row>
    <row r="79" spans="2:11">
      <c r="B79" s="164"/>
      <c r="C79" s="164"/>
      <c r="D79" s="164"/>
      <c r="E79" s="164"/>
      <c r="F79" s="164"/>
      <c r="G79" s="164"/>
      <c r="H79" s="164"/>
      <c r="I79" s="164"/>
      <c r="J79" s="164"/>
      <c r="K79" s="164"/>
    </row>
    <row r="80" spans="2:11">
      <c r="B80" s="164"/>
      <c r="C80" s="164"/>
      <c r="D80" s="164"/>
      <c r="E80" s="164"/>
      <c r="F80" s="164"/>
      <c r="G80" s="164"/>
      <c r="H80" s="164"/>
      <c r="I80" s="164"/>
      <c r="J80" s="164"/>
      <c r="K80" s="164"/>
    </row>
    <row r="81" spans="2:11">
      <c r="B81" s="164"/>
      <c r="C81" s="164"/>
      <c r="D81" s="164"/>
      <c r="E81" s="164"/>
      <c r="F81" s="164"/>
      <c r="G81" s="164"/>
      <c r="H81" s="164"/>
      <c r="I81" s="164"/>
      <c r="J81" s="164"/>
      <c r="K81" s="164"/>
    </row>
    <row r="82" spans="2:11">
      <c r="B82" s="164"/>
      <c r="C82" s="164"/>
      <c r="D82" s="164"/>
      <c r="E82" s="164"/>
      <c r="F82" s="164"/>
      <c r="G82" s="164"/>
      <c r="H82" s="164"/>
      <c r="I82" s="164"/>
      <c r="J82" s="164"/>
      <c r="K82" s="164"/>
    </row>
    <row r="83" spans="2:11">
      <c r="B83" s="164"/>
      <c r="C83" s="164"/>
      <c r="D83" s="164"/>
      <c r="E83" s="164"/>
      <c r="F83" s="164"/>
      <c r="G83" s="164"/>
      <c r="H83" s="164"/>
      <c r="I83" s="164"/>
      <c r="J83" s="164"/>
      <c r="K83" s="164"/>
    </row>
    <row r="84" spans="2:11">
      <c r="B84" s="164"/>
      <c r="C84" s="164"/>
      <c r="D84" s="164"/>
      <c r="E84" s="164"/>
      <c r="F84" s="164"/>
      <c r="G84" s="164"/>
      <c r="H84" s="164"/>
      <c r="I84" s="164"/>
      <c r="J84" s="164"/>
      <c r="K84" s="164"/>
    </row>
    <row r="85" spans="2:11">
      <c r="B85" s="164"/>
      <c r="C85" s="164"/>
      <c r="D85" s="164"/>
      <c r="E85" s="164"/>
      <c r="F85" s="164"/>
      <c r="G85" s="164"/>
      <c r="H85" s="164"/>
      <c r="I85" s="164"/>
      <c r="J85" s="164"/>
      <c r="K85" s="164"/>
    </row>
    <row r="86" spans="2:11">
      <c r="B86" s="164"/>
      <c r="C86" s="164"/>
      <c r="D86" s="164"/>
      <c r="E86" s="164"/>
      <c r="F86" s="164"/>
      <c r="G86" s="164"/>
      <c r="H86" s="164"/>
      <c r="I86" s="164"/>
      <c r="J86" s="164"/>
      <c r="K86" s="164"/>
    </row>
    <row r="87" spans="2:11">
      <c r="B87" s="164"/>
      <c r="C87" s="164"/>
      <c r="D87" s="164"/>
      <c r="E87" s="164"/>
      <c r="F87" s="164"/>
      <c r="G87" s="164"/>
      <c r="H87" s="164"/>
      <c r="I87" s="164"/>
      <c r="J87" s="164"/>
      <c r="K87" s="164"/>
    </row>
    <row r="88" spans="2:11">
      <c r="B88" s="164"/>
      <c r="C88" s="164"/>
      <c r="D88" s="164"/>
      <c r="E88" s="164"/>
      <c r="F88" s="164"/>
      <c r="G88" s="164"/>
      <c r="H88" s="164"/>
      <c r="I88" s="164"/>
      <c r="J88" s="164"/>
      <c r="K88" s="164"/>
    </row>
    <row r="89" spans="2:11">
      <c r="B89" s="164"/>
      <c r="C89" s="164"/>
      <c r="D89" s="164"/>
      <c r="E89" s="164"/>
      <c r="F89" s="164"/>
      <c r="G89" s="164"/>
      <c r="H89" s="164"/>
      <c r="I89" s="164"/>
      <c r="J89" s="164"/>
      <c r="K89" s="164"/>
    </row>
    <row r="90" spans="2:11">
      <c r="B90" s="164"/>
      <c r="C90" s="164"/>
      <c r="D90" s="164"/>
      <c r="E90" s="164"/>
      <c r="F90" s="164"/>
      <c r="G90" s="164"/>
      <c r="H90" s="164"/>
      <c r="I90" s="164"/>
      <c r="J90" s="164"/>
      <c r="K90" s="164"/>
    </row>
    <row r="91" spans="2:11">
      <c r="B91" s="164"/>
      <c r="C91" s="164"/>
      <c r="D91" s="164"/>
      <c r="E91" s="164"/>
      <c r="F91" s="164"/>
      <c r="G91" s="164"/>
      <c r="H91" s="164"/>
      <c r="I91" s="164"/>
      <c r="J91" s="164"/>
      <c r="K91" s="164"/>
    </row>
    <row r="92" spans="2:11">
      <c r="B92" s="164"/>
      <c r="C92" s="164"/>
      <c r="D92" s="164"/>
      <c r="E92" s="164"/>
      <c r="F92" s="164"/>
      <c r="G92" s="164"/>
      <c r="H92" s="164"/>
      <c r="I92" s="164"/>
      <c r="J92" s="164"/>
      <c r="K92" s="164"/>
    </row>
    <row r="93" spans="2:11">
      <c r="B93" s="164"/>
      <c r="C93" s="164"/>
      <c r="D93" s="164"/>
      <c r="E93" s="164"/>
      <c r="F93" s="164"/>
      <c r="G93" s="164"/>
      <c r="H93" s="164"/>
      <c r="I93" s="164"/>
      <c r="J93" s="164"/>
      <c r="K93" s="164"/>
    </row>
    <row r="94" spans="2:11">
      <c r="B94" s="164"/>
      <c r="C94" s="164"/>
      <c r="D94" s="164"/>
      <c r="E94" s="164"/>
      <c r="F94" s="164"/>
      <c r="G94" s="164"/>
      <c r="H94" s="164"/>
      <c r="I94" s="164"/>
      <c r="J94" s="164"/>
      <c r="K94" s="164"/>
    </row>
    <row r="95" spans="2:11">
      <c r="B95" s="164"/>
      <c r="C95" s="164"/>
      <c r="D95" s="164"/>
      <c r="E95" s="164"/>
      <c r="F95" s="164"/>
      <c r="G95" s="164"/>
      <c r="H95" s="164"/>
      <c r="I95" s="164"/>
      <c r="J95" s="164"/>
      <c r="K95" s="164"/>
    </row>
    <row r="96" spans="2:11">
      <c r="B96" s="164"/>
      <c r="C96" s="164"/>
      <c r="D96" s="164"/>
      <c r="E96" s="164"/>
      <c r="F96" s="164"/>
      <c r="G96" s="164"/>
      <c r="H96" s="164"/>
      <c r="I96" s="164"/>
      <c r="J96" s="164"/>
      <c r="K96" s="164"/>
    </row>
    <row r="97" spans="2:11">
      <c r="B97" s="164"/>
      <c r="C97" s="164"/>
      <c r="D97" s="164"/>
      <c r="E97" s="164"/>
      <c r="F97" s="164"/>
      <c r="G97" s="164"/>
      <c r="H97" s="164"/>
      <c r="I97" s="164"/>
      <c r="J97" s="164"/>
      <c r="K97" s="164"/>
    </row>
    <row r="98" spans="2:11">
      <c r="B98" s="164"/>
      <c r="C98" s="164"/>
      <c r="D98" s="164"/>
      <c r="E98" s="164"/>
      <c r="F98" s="164"/>
      <c r="G98" s="164"/>
      <c r="H98" s="164"/>
      <c r="I98" s="164"/>
      <c r="J98" s="164"/>
      <c r="K98" s="164"/>
    </row>
    <row r="99" spans="2:11">
      <c r="B99" s="164"/>
      <c r="C99" s="164"/>
      <c r="D99" s="164"/>
      <c r="E99" s="164"/>
      <c r="F99" s="164"/>
      <c r="G99" s="164"/>
      <c r="H99" s="164"/>
      <c r="I99" s="164"/>
      <c r="J99" s="164"/>
      <c r="K99" s="164"/>
    </row>
    <row r="100" spans="2:11">
      <c r="B100" s="164"/>
      <c r="C100" s="164"/>
      <c r="D100" s="164"/>
      <c r="E100" s="164"/>
      <c r="F100" s="164"/>
      <c r="G100" s="164"/>
      <c r="H100" s="164"/>
      <c r="I100" s="164"/>
      <c r="J100" s="164"/>
      <c r="K100" s="164"/>
    </row>
    <row r="101" spans="2:11">
      <c r="B101" s="164"/>
      <c r="C101" s="164"/>
      <c r="D101" s="164"/>
      <c r="E101" s="164"/>
      <c r="F101" s="164"/>
      <c r="G101" s="164"/>
      <c r="H101" s="164"/>
      <c r="I101" s="164"/>
      <c r="J101" s="164"/>
      <c r="K101" s="164"/>
    </row>
    <row r="102" spans="2:11">
      <c r="B102" s="164"/>
      <c r="C102" s="164"/>
      <c r="D102" s="164"/>
      <c r="E102" s="164"/>
      <c r="F102" s="164"/>
      <c r="G102" s="164"/>
      <c r="H102" s="164"/>
      <c r="I102" s="164"/>
      <c r="J102" s="164"/>
      <c r="K102" s="164"/>
    </row>
  </sheetData>
  <sheetProtection password="CC40" sheet="1"/>
  <phoneticPr fontId="0" type="noConversion"/>
  <conditionalFormatting sqref="F53">
    <cfRule type="expression" dxfId="0" priority="1" stopIfTrue="1">
      <formula>$F$53="NOT ACCEPTABLE"</formula>
    </cfRule>
  </conditionalFormatting>
  <pageMargins left="0.34" right="0.24" top="0.25" bottom="0.27" header="0.2" footer="0.2"/>
  <pageSetup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H30"/>
  <sheetViews>
    <sheetView workbookViewId="0">
      <selection activeCell="K18" sqref="K18"/>
    </sheetView>
  </sheetViews>
  <sheetFormatPr defaultRowHeight="12.5"/>
  <cols>
    <col min="2" max="2" width="10.453125" customWidth="1"/>
    <col min="5" max="5" width="42.453125" customWidth="1"/>
    <col min="7" max="7" width="15.6328125" customWidth="1"/>
  </cols>
  <sheetData>
    <row r="2" spans="2:8" ht="13">
      <c r="B2" s="57" t="s">
        <v>165</v>
      </c>
      <c r="C2" s="58"/>
      <c r="D2" s="59"/>
      <c r="E2" s="57" t="s">
        <v>147</v>
      </c>
      <c r="F2" s="67"/>
      <c r="G2" s="57" t="s">
        <v>148</v>
      </c>
      <c r="H2" s="67"/>
    </row>
    <row r="3" spans="2:8">
      <c r="B3" s="60" t="s">
        <v>149</v>
      </c>
      <c r="C3" s="221">
        <v>2</v>
      </c>
      <c r="D3" s="62"/>
      <c r="E3" s="79" t="s">
        <v>242</v>
      </c>
      <c r="F3" s="222">
        <v>1</v>
      </c>
      <c r="G3" s="63" t="s">
        <v>150</v>
      </c>
      <c r="H3" s="223">
        <v>1</v>
      </c>
    </row>
    <row r="4" spans="2:8">
      <c r="B4" s="60" t="s">
        <v>16</v>
      </c>
      <c r="C4" s="221">
        <v>1</v>
      </c>
      <c r="D4" s="62"/>
      <c r="E4" s="79" t="s">
        <v>151</v>
      </c>
      <c r="F4" s="223"/>
      <c r="G4" s="63" t="s">
        <v>152</v>
      </c>
      <c r="H4" s="223"/>
    </row>
    <row r="5" spans="2:8">
      <c r="B5" s="60"/>
      <c r="C5" s="221">
        <v>2</v>
      </c>
      <c r="D5" s="62"/>
      <c r="E5" s="79" t="s">
        <v>153</v>
      </c>
      <c r="F5" s="223"/>
      <c r="G5" s="63"/>
      <c r="H5" s="64"/>
    </row>
    <row r="6" spans="2:8">
      <c r="B6" s="63"/>
      <c r="C6" s="221">
        <v>2</v>
      </c>
      <c r="D6" s="62"/>
      <c r="E6" s="79" t="s">
        <v>154</v>
      </c>
      <c r="F6" s="223"/>
      <c r="G6" s="65"/>
      <c r="H6" s="66"/>
    </row>
    <row r="7" spans="2:8" ht="13">
      <c r="B7" s="63"/>
      <c r="C7" s="221">
        <v>2</v>
      </c>
      <c r="D7" s="64"/>
      <c r="E7" s="63"/>
      <c r="F7" s="223"/>
      <c r="G7" s="57" t="s">
        <v>155</v>
      </c>
      <c r="H7" s="227"/>
    </row>
    <row r="8" spans="2:8">
      <c r="B8" s="63"/>
      <c r="C8" s="221">
        <v>2</v>
      </c>
      <c r="D8" s="64"/>
      <c r="E8" s="63"/>
      <c r="F8" s="64"/>
      <c r="G8" s="228"/>
      <c r="H8" s="223"/>
    </row>
    <row r="9" spans="2:8">
      <c r="B9" s="63"/>
      <c r="C9" s="61"/>
      <c r="D9" s="64"/>
      <c r="E9" s="63"/>
      <c r="F9" s="64"/>
      <c r="G9" s="63" t="s">
        <v>21</v>
      </c>
      <c r="H9" s="223">
        <v>1</v>
      </c>
    </row>
    <row r="10" spans="2:8">
      <c r="B10" s="63"/>
      <c r="C10" s="61"/>
      <c r="D10" s="64"/>
      <c r="E10" s="63"/>
      <c r="F10" s="64"/>
      <c r="G10" s="63" t="s">
        <v>113</v>
      </c>
      <c r="H10" s="223"/>
    </row>
    <row r="11" spans="2:8">
      <c r="B11" s="63"/>
      <c r="C11" s="61"/>
      <c r="D11" s="64"/>
      <c r="E11" s="65"/>
      <c r="F11" s="66"/>
      <c r="G11" s="63" t="s">
        <v>117</v>
      </c>
      <c r="H11" s="223"/>
    </row>
    <row r="12" spans="2:8" ht="13">
      <c r="B12" s="63"/>
      <c r="E12" s="57" t="s">
        <v>76</v>
      </c>
      <c r="F12" s="67"/>
      <c r="G12" s="63"/>
      <c r="H12" s="64"/>
    </row>
    <row r="13" spans="2:8">
      <c r="B13" s="63"/>
      <c r="E13" s="60" t="s">
        <v>156</v>
      </c>
      <c r="F13" s="223">
        <v>2</v>
      </c>
      <c r="G13" s="63"/>
      <c r="H13" s="64"/>
    </row>
    <row r="14" spans="2:8">
      <c r="B14" s="63"/>
      <c r="E14" s="60" t="s">
        <v>157</v>
      </c>
      <c r="F14" s="223">
        <v>2</v>
      </c>
      <c r="G14" s="63"/>
      <c r="H14" s="64"/>
    </row>
    <row r="15" spans="2:8">
      <c r="B15" s="63"/>
      <c r="E15" s="63"/>
      <c r="F15" s="223">
        <v>1</v>
      </c>
      <c r="G15" s="65"/>
      <c r="H15" s="66"/>
    </row>
    <row r="16" spans="2:8">
      <c r="B16" s="63"/>
      <c r="C16" s="23"/>
      <c r="D16" s="64"/>
      <c r="E16" s="63"/>
      <c r="F16" s="64"/>
    </row>
    <row r="17" spans="2:7">
      <c r="B17" s="63"/>
      <c r="C17" s="23"/>
      <c r="D17" s="64"/>
      <c r="E17" s="65"/>
      <c r="F17" s="66"/>
    </row>
    <row r="18" spans="2:7" ht="13">
      <c r="B18" s="63"/>
      <c r="C18" s="23"/>
      <c r="D18" s="64"/>
      <c r="F18" s="86" t="s">
        <v>158</v>
      </c>
      <c r="G18" s="87"/>
    </row>
    <row r="19" spans="2:7">
      <c r="B19" s="63"/>
      <c r="C19" s="23"/>
      <c r="D19" s="64"/>
      <c r="F19" s="88" t="s">
        <v>156</v>
      </c>
      <c r="G19" s="224">
        <v>2</v>
      </c>
    </row>
    <row r="20" spans="2:7">
      <c r="B20" s="63"/>
      <c r="C20" s="23"/>
      <c r="D20" s="64"/>
      <c r="F20" s="88" t="s">
        <v>157</v>
      </c>
      <c r="G20" s="225"/>
    </row>
    <row r="21" spans="2:7">
      <c r="B21" s="63"/>
      <c r="C21" s="23"/>
      <c r="D21" s="64"/>
      <c r="F21" s="90"/>
      <c r="G21" s="89"/>
    </row>
    <row r="22" spans="2:7">
      <c r="B22" s="63"/>
      <c r="C22" s="23"/>
      <c r="D22" s="64"/>
      <c r="F22" s="91"/>
      <c r="G22" s="92"/>
    </row>
    <row r="23" spans="2:7">
      <c r="B23" s="65"/>
      <c r="C23" s="68"/>
      <c r="D23" s="66"/>
    </row>
    <row r="24" spans="2:7" ht="13">
      <c r="F24" s="96" t="s">
        <v>159</v>
      </c>
      <c r="G24" s="96"/>
    </row>
    <row r="25" spans="2:7">
      <c r="F25" t="s">
        <v>160</v>
      </c>
      <c r="G25" s="226">
        <v>1</v>
      </c>
    </row>
    <row r="26" spans="2:7">
      <c r="F26" t="s">
        <v>161</v>
      </c>
      <c r="G26" s="226"/>
    </row>
    <row r="28" spans="2:7" ht="13">
      <c r="F28" s="319" t="s">
        <v>232</v>
      </c>
      <c r="G28" s="319"/>
    </row>
    <row r="29" spans="2:7">
      <c r="F29" s="247" t="s">
        <v>233</v>
      </c>
      <c r="G29" s="226"/>
    </row>
    <row r="30" spans="2:7">
      <c r="F30" s="247" t="s">
        <v>234</v>
      </c>
    </row>
  </sheetData>
  <sheetProtection password="CC40" sheet="1"/>
  <mergeCells count="1">
    <mergeCell ref="F28:G28"/>
  </mergeCells>
  <phoneticPr fontId="0" type="noConversion"/>
  <pageMargins left="0.75" right="0.75" top="1" bottom="1" header="0.5" footer="0.5"/>
  <pageSetup paperSize="9" orientation="portrait" horizontalDpi="300" verticalDpi="300"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Publication" ma:contentTypeID="0x0101100025AF4C23721A4F4FB44C7E671DA01F23005B33F25AD1CA4DDD9F81718865B9303E00ABFA98A10E2AFD42BDF583DEA79DBB96" ma:contentTypeVersion="1" ma:contentTypeDescription="A document that is considered a publication on the NMI site" ma:contentTypeScope="" ma:versionID="871e846c5a1cd427364590f8b51ca98a">
  <xsd:schema xmlns:xsd="http://www.w3.org/2001/XMLSchema" xmlns:p="http://schemas.microsoft.com/office/2006/metadata/properties" xmlns:ns1="http://schemas.microsoft.com/sharepoint/v3" xmlns:ns2="a9f017e7-a48c-48bc-b49a-1be409ebd71c" xmlns:ns3="be0903df-4f17-44d6-a50d-f45ac8fcfabc" xmlns:ns4="7f3981c1-bcfe-467d-b2cb-f642e32ef890" targetNamespace="http://schemas.microsoft.com/office/2006/metadata/properties" ma:root="true" ma:fieldsID="9ab79076184b66c34f357bbed3786f1a" ns1:_="" ns2:_="" ns3:_="" ns4:_="">
    <xsd:import namespace="http://schemas.microsoft.com/sharepoint/v3"/>
    <xsd:import namespace="a9f017e7-a48c-48bc-b49a-1be409ebd71c"/>
    <xsd:import namespace="be0903df-4f17-44d6-a50d-f45ac8fcfabc"/>
    <xsd:import namespace="7f3981c1-bcfe-467d-b2cb-f642e32ef890"/>
    <xsd:element name="properties">
      <xsd:complexType>
        <xsd:sequence>
          <xsd:element name="documentManagement">
            <xsd:complexType>
              <xsd:all>
                <xsd:element ref="ns1:Comments" minOccurs="0"/>
                <xsd:element ref="ns2:SubjectLookupField" minOccurs="0"/>
                <xsd:element ref="ns2:FunctionLookupField" minOccurs="0"/>
                <xsd:element ref="ns2:KeywordsLookupField" minOccurs="0"/>
                <xsd:element ref="ns3:AudienceField" minOccurs="0"/>
                <xsd:element ref="ns3:FileReference" minOccurs="0"/>
                <xsd:element ref="ns1:PublishingStartDate" minOccurs="0"/>
                <xsd:element ref="ns1:PublishingExpirationDate" minOccurs="0"/>
                <xsd:element ref="ns1:PublishingContact" minOccurs="0"/>
                <xsd:element ref="ns3:IncludeInNotificationsAndUpdates" minOccurs="0"/>
                <xsd:element ref="ns4:Publication_x0020_Reference" minOccurs="0"/>
                <xsd:element ref="ns4:Publication_x0020_Status" minOccurs="0"/>
                <xsd:element ref="ns1: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omments" ma:index="8" nillable="true" ma:displayName="Description" ma:internalName="Comments">
      <xsd:simpleType>
        <xsd:restriction base="dms:Note"/>
      </xsd:simpleType>
    </xsd:element>
    <xsd:element name="PublishingStartDate" ma:index="14" nillable="true" ma:displayName="Start Date" ma:internalName="PublishingStartDate">
      <xsd:simpleType>
        <xsd:restriction base="dms:Unknown"/>
      </xsd:simpleType>
    </xsd:element>
    <xsd:element name="PublishingExpirationDate" ma:index="15" nillable="true" ma:displayName="End Date" ma:internalName="PublishingExpirationDate">
      <xsd:simpleType>
        <xsd:restriction base="dms:Unknown"/>
      </xsd:simpleType>
    </xsd:element>
    <xsd:element name="PublishingContact" ma:index="16" nillable="true" ma:displayName="Page 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playOrder" ma:index="21" nillable="true" ma:displayName="Display Order" ma:internalName="DisplayOrder">
      <xsd:simpleType>
        <xsd:restriction base="dms:Number"/>
      </xsd:simpleType>
    </xsd:element>
  </xsd:schema>
  <xsd:schema xmlns:xsd="http://www.w3.org/2001/XMLSchema" xmlns:dms="http://schemas.microsoft.com/office/2006/documentManagement/types" targetNamespace="a9f017e7-a48c-48bc-b49a-1be409ebd71c" elementFormDefault="qualified">
    <xsd:import namespace="http://schemas.microsoft.com/office/2006/documentManagement/types"/>
    <xsd:element name="SubjectLookupField" ma:index="9" nillable="true" ma:displayName="Subject" ma:list="55e92e21-ef0e-4267-a133-145e5bb0df9f" ma:internalName="Subject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FunctionLookupField" ma:index="10" nillable="true" ma:displayName="Function" ma:list="6c2c7dcb-3e00-4777-acec-55d4665addc0" ma:internalName="Function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KeywordsLookupField" ma:index="11" nillable="true" ma:displayName="Keywords" ma:list="96373275-198f-4301-8e65-b152895fc438" ma:internalName="Keywords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dms="http://schemas.microsoft.com/office/2006/documentManagement/types" targetNamespace="be0903df-4f17-44d6-a50d-f45ac8fcfabc" elementFormDefault="qualified">
    <xsd:import namespace="http://schemas.microsoft.com/office/2006/documentManagement/types"/>
    <xsd:element name="AudienceField" ma:index="12" nillable="true" ma:displayName="Audience" ma:internalName="AudienceField">
      <xsd:simpleType>
        <xsd:restriction base="dms:Text"/>
      </xsd:simpleType>
    </xsd:element>
    <xsd:element name="FileReference" ma:index="13" nillable="true" ma:displayName="File Reference" ma:internalName="FileReference">
      <xsd:simpleType>
        <xsd:restriction base="dms:Text"/>
      </xsd:simpleType>
    </xsd:element>
    <xsd:element name="IncludeInNotificationsAndUpdates" ma:index="17" nillable="true" ma:displayName="Include In Notifications And Updates" ma:default="1" ma:internalName="IncludeInNotificationsAndUpdates">
      <xsd:simpleType>
        <xsd:restriction base="dms:Boolean"/>
      </xsd:simpleType>
    </xsd:element>
  </xsd:schema>
  <xsd:schema xmlns:xsd="http://www.w3.org/2001/XMLSchema" xmlns:dms="http://schemas.microsoft.com/office/2006/documentManagement/types" targetNamespace="7f3981c1-bcfe-467d-b2cb-f642e32ef890" elementFormDefault="qualified">
    <xsd:import namespace="http://schemas.microsoft.com/office/2006/documentManagement/types"/>
    <xsd:element name="Publication_x0020_Reference" ma:index="18" nillable="true" ma:displayName="Publication Reference" ma:internalName="Publication_x0020_Reference">
      <xsd:simpleType>
        <xsd:restriction base="dms:Text">
          <xsd:maxLength value="255"/>
        </xsd:restriction>
      </xsd:simpleType>
    </xsd:element>
    <xsd:element name="Publication_x0020_Status" ma:index="19" nillable="true" ma:displayName="Publication Status" ma:default="Active" ma:format="Dropdown" ma:internalName="Publication_x0020_Status">
      <xsd:simpleType>
        <xsd:restriction base="dms:Choice">
          <xsd:enumeration value="Active"/>
          <xsd:enumeration value="Expired"/>
          <xsd:enumeration value="Cancell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ileReference xmlns="be0903df-4f17-44d6-a50d-f45ac8fcfabc">09/010/465</FileReference>
    <FunctionLookupField xmlns="a9f017e7-a48c-48bc-b49a-1be409ebd71c"/>
    <KeywordsLookupField xmlns="a9f017e7-a48c-48bc-b49a-1be409ebd71c"/>
    <Publication_x0020_Reference xmlns="7f3981c1-bcfe-467d-b2cb-f642e32ef890" xsi:nil="true"/>
    <SubjectLookupField xmlns="a9f017e7-a48c-48bc-b49a-1be409ebd71c"/>
    <Publication_x0020_Status xmlns="7f3981c1-bcfe-467d-b2cb-f642e32ef890">Active</Publication_x0020_Status>
    <PublishingExpirationDate xmlns="http://schemas.microsoft.com/sharepoint/v3" xsi:nil="true"/>
    <DisplayOrder xmlns="http://schemas.microsoft.com/sharepoint/v3">100</DisplayOrder>
    <PublishingStartDate xmlns="http://schemas.microsoft.com/sharepoint/v3" xsi:nil="true"/>
    <IncludeInNotificationsAndUpdates xmlns="be0903df-4f17-44d6-a50d-f45ac8fcfabc">true</IncludeInNotificationsAndUpdates>
    <PublishingContact xmlns="http://schemas.microsoft.com/sharepoint/v3">
      <UserInfo>
        <DisplayName/>
        <AccountId>20</AccountId>
        <AccountType/>
      </UserInfo>
    </PublishingContact>
    <Comments xmlns="http://schemas.microsoft.com/sharepoint/v3" xsi:nil="true"/>
    <AudienceField xmlns="be0903df-4f17-44d6-a50d-f45ac8fcfabc" xsi:nil="true"/>
  </documentManagement>
</p:properties>
</file>

<file path=customXml/itemProps1.xml><?xml version="1.0" encoding="utf-8"?>
<ds:datastoreItem xmlns:ds="http://schemas.openxmlformats.org/officeDocument/2006/customXml" ds:itemID="{B6968850-06F9-47AF-972F-633FEEEF34F9}">
  <ds:schemaRefs>
    <ds:schemaRef ds:uri="http://schemas.microsoft.com/sharepoint/v3/contenttype/forms"/>
  </ds:schemaRefs>
</ds:datastoreItem>
</file>

<file path=customXml/itemProps2.xml><?xml version="1.0" encoding="utf-8"?>
<ds:datastoreItem xmlns:ds="http://schemas.openxmlformats.org/officeDocument/2006/customXml" ds:itemID="{452F23A1-DC98-4893-8EA5-668B58981E41}">
  <ds:schemaRefs>
    <ds:schemaRef ds:uri="http://schemas.microsoft.com/office/2006/metadata/longProperties"/>
  </ds:schemaRefs>
</ds:datastoreItem>
</file>

<file path=customXml/itemProps3.xml><?xml version="1.0" encoding="utf-8"?>
<ds:datastoreItem xmlns:ds="http://schemas.openxmlformats.org/officeDocument/2006/customXml" ds:itemID="{4BA716E5-1391-4229-AF67-8C354CE9F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017e7-a48c-48bc-b49a-1be409ebd71c"/>
    <ds:schemaRef ds:uri="be0903df-4f17-44d6-a50d-f45ac8fcfabc"/>
    <ds:schemaRef ds:uri="7f3981c1-bcfe-467d-b2cb-f642e32ef8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E99BE1FA-DF02-4DCF-92FE-62B44AB28F09}">
  <ds:schemaRefs>
    <ds:schemaRef ds:uri="http://purl.org/dc/elements/1.1/"/>
    <ds:schemaRef ds:uri="http://schemas.microsoft.com/office/2006/metadata/properties"/>
    <ds:schemaRef ds:uri="be0903df-4f17-44d6-a50d-f45ac8fcfabc"/>
    <ds:schemaRef ds:uri="http://schemas.microsoft.com/sharepoint/v3"/>
    <ds:schemaRef ds:uri="a9f017e7-a48c-48bc-b49a-1be409ebd71c"/>
    <ds:schemaRef ds:uri="http://purl.org/dc/terms/"/>
    <ds:schemaRef ds:uri="http://schemas.openxmlformats.org/package/2006/metadata/core-properties"/>
    <ds:schemaRef ds:uri="http://schemas.microsoft.com/office/2006/documentManagement/types"/>
    <ds:schemaRef ds:uri="7f3981c1-bcfe-467d-b2cb-f642e32ef8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89</vt:i4>
      </vt:variant>
    </vt:vector>
  </HeadingPairs>
  <TitlesOfParts>
    <vt:vector size="99" baseType="lpstr">
      <vt:lpstr>Cover</vt:lpstr>
      <vt:lpstr>Instrument specs</vt:lpstr>
      <vt:lpstr>Load cell and indicator specs</vt:lpstr>
      <vt:lpstr>6B0 Analysis</vt:lpstr>
      <vt:lpstr>Report - single range</vt:lpstr>
      <vt:lpstr>Report - 2 range or interval</vt:lpstr>
      <vt:lpstr>Report - 3 range or interval</vt:lpstr>
      <vt:lpstr>Report - 4 range or interval</vt:lpstr>
      <vt:lpstr>Lookup</vt:lpstr>
      <vt:lpstr>Revision History</vt:lpstr>
      <vt:lpstr>cell_DR</vt:lpstr>
      <vt:lpstr>cell_imped</vt:lpstr>
      <vt:lpstr>cell_make</vt:lpstr>
      <vt:lpstr>cell_max_cap</vt:lpstr>
      <vt:lpstr>cell_max_e</vt:lpstr>
      <vt:lpstr>cell_max_factor</vt:lpstr>
      <vt:lpstr>cell_model</vt:lpstr>
      <vt:lpstr>cell_mv</vt:lpstr>
      <vt:lpstr>cell_S_No.</vt:lpstr>
      <vt:lpstr>cell_Vexc</vt:lpstr>
      <vt:lpstr>cell_Vmin</vt:lpstr>
      <vt:lpstr>ind_make</vt:lpstr>
      <vt:lpstr>ind_max_e</vt:lpstr>
      <vt:lpstr>ind_max_I</vt:lpstr>
      <vt:lpstr>ind_model</vt:lpstr>
      <vt:lpstr>ind_S_No.</vt:lpstr>
      <vt:lpstr>ind_sens</vt:lpstr>
      <vt:lpstr>ind_Vexc</vt:lpstr>
      <vt:lpstr>inst_cap_type</vt:lpstr>
      <vt:lpstr>inst_conv_no</vt:lpstr>
      <vt:lpstr>inst_dl</vt:lpstr>
      <vt:lpstr>inst_e3_factor</vt:lpstr>
      <vt:lpstr>inst_e4_factor</vt:lpstr>
      <vt:lpstr>inst_hj</vt:lpstr>
      <vt:lpstr>inst_inst_no</vt:lpstr>
      <vt:lpstr>inst_inst_type</vt:lpstr>
      <vt:lpstr>inst_make</vt:lpstr>
      <vt:lpstr>inst_max_multi</vt:lpstr>
      <vt:lpstr>inst_max_used</vt:lpstr>
      <vt:lpstr>inst_model</vt:lpstr>
      <vt:lpstr>inst_multi_e_1</vt:lpstr>
      <vt:lpstr>inst_multi_e_2</vt:lpstr>
      <vt:lpstr>inst_multi_e_3</vt:lpstr>
      <vt:lpstr>inst_multi_e_4</vt:lpstr>
      <vt:lpstr>inst_multi_e_factor</vt:lpstr>
      <vt:lpstr>inst_multi_max_1</vt:lpstr>
      <vt:lpstr>inst_multi_max_2</vt:lpstr>
      <vt:lpstr>inst_multi_max_3</vt:lpstr>
      <vt:lpstr>inst_multi_max_4</vt:lpstr>
      <vt:lpstr>inst_multi_max_factor</vt:lpstr>
      <vt:lpstr>inst_multi_maxer</vt:lpstr>
      <vt:lpstr>inst_multi_no_e_greatest</vt:lpstr>
      <vt:lpstr>inst_multi_no_e_least</vt:lpstr>
      <vt:lpstr>inst_multi_no_e1</vt:lpstr>
      <vt:lpstr>inst_multi_no_e2</vt:lpstr>
      <vt:lpstr>inst_multi_no_e3</vt:lpstr>
      <vt:lpstr>inst_multi_no_e4</vt:lpstr>
      <vt:lpstr>inst_N</vt:lpstr>
      <vt:lpstr>inst_operation</vt:lpstr>
      <vt:lpstr>inst_platform_L</vt:lpstr>
      <vt:lpstr>inst_platform_W</vt:lpstr>
      <vt:lpstr>inst_R</vt:lpstr>
      <vt:lpstr>inst_R_calcs</vt:lpstr>
      <vt:lpstr>inst_recep_type</vt:lpstr>
      <vt:lpstr>inst_report_no</vt:lpstr>
      <vt:lpstr>inst_sing_e</vt:lpstr>
      <vt:lpstr>inst_sing_e_factor</vt:lpstr>
      <vt:lpstr>inst_sing_max</vt:lpstr>
      <vt:lpstr>inst_sing_max_factor</vt:lpstr>
      <vt:lpstr>inst_sing_no_e</vt:lpstr>
      <vt:lpstr>inst_submittor_name</vt:lpstr>
      <vt:lpstr>inst_submittor_org</vt:lpstr>
      <vt:lpstr>inst_submittor_pos</vt:lpstr>
      <vt:lpstr>inst_value_e_calcs</vt:lpstr>
      <vt:lpstr>new</vt:lpstr>
      <vt:lpstr>output_type</vt:lpstr>
      <vt:lpstr>'6B0 Analysis'!Print_Area</vt:lpstr>
      <vt:lpstr>Cover!Print_Area</vt:lpstr>
      <vt:lpstr>'Instrument specs'!Print_Area</vt:lpstr>
      <vt:lpstr>'Load cell and indicator specs'!Print_Area</vt:lpstr>
      <vt:lpstr>'Report - 2 range or interval'!Print_Area</vt:lpstr>
      <vt:lpstr>'Report - 3 range or interval'!Print_Area</vt:lpstr>
      <vt:lpstr>'Report - 4 range or interval'!Print_Area</vt:lpstr>
      <vt:lpstr>'Report - single range'!Print_Area</vt:lpstr>
      <vt:lpstr>res_1</vt:lpstr>
      <vt:lpstr>res_2</vt:lpstr>
      <vt:lpstr>res_3</vt:lpstr>
      <vt:lpstr>res_4</vt:lpstr>
      <vt:lpstr>res_5</vt:lpstr>
      <vt:lpstr>res_6</vt:lpstr>
      <vt:lpstr>res_6.1</vt:lpstr>
      <vt:lpstr>res_dl</vt:lpstr>
      <vt:lpstr>res_exp_dates</vt:lpstr>
      <vt:lpstr>res_lin</vt:lpstr>
      <vt:lpstr>res_loaded_cap_cells</vt:lpstr>
      <vt:lpstr>res_suit_ind</vt:lpstr>
      <vt:lpstr>res_suit_ind_ranges</vt:lpstr>
      <vt:lpstr>ver</vt:lpstr>
      <vt:lpstr>ver_date</vt:lpstr>
    </vt:vector>
  </TitlesOfParts>
  <Company>National Standards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6B/0 Calculation Spreadsheet for Use with NMI P 100</dc:title>
  <dc:creator>Chen, Yi</dc:creator>
  <cp:lastModifiedBy>Chen, Yi</cp:lastModifiedBy>
  <cp:lastPrinted>2021-10-19T05:33:27Z</cp:lastPrinted>
  <dcterms:created xsi:type="dcterms:W3CDTF">1998-02-03T04:39:56Z</dcterms:created>
  <dcterms:modified xsi:type="dcterms:W3CDTF">2021-10-25T23:01:59Z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Contact">
    <vt:lpwstr>20</vt:lpwstr>
  </property>
  <property fmtid="{D5CDD505-2E9C-101B-9397-08002B2CF9AE}" pid="3" name="DisplayOrder">
    <vt:lpwstr>100.000000000000</vt:lpwstr>
  </property>
  <property fmtid="{D5CDD505-2E9C-101B-9397-08002B2CF9AE}" pid="4" name="display_urn:schemas-microsoft-com:office:office#PublishingContact">
    <vt:lpwstr>Helen.Wortham</vt:lpwstr>
  </property>
  <property fmtid="{D5CDD505-2E9C-101B-9397-08002B2CF9AE}" pid="5" name="FunctionLookupField">
    <vt:lpwstr/>
  </property>
  <property fmtid="{D5CDD505-2E9C-101B-9397-08002B2CF9AE}" pid="6" name="Publication Status">
    <vt:lpwstr>Active</vt:lpwstr>
  </property>
  <property fmtid="{D5CDD505-2E9C-101B-9397-08002B2CF9AE}" pid="7" name="ContentType">
    <vt:lpwstr>Publication</vt:lpwstr>
  </property>
  <property fmtid="{D5CDD505-2E9C-101B-9397-08002B2CF9AE}" pid="8" name="SubjectLookupField">
    <vt:lpwstr/>
  </property>
  <property fmtid="{D5CDD505-2E9C-101B-9397-08002B2CF9AE}" pid="9" name="KeywordsLookupField">
    <vt:lpwstr/>
  </property>
  <property fmtid="{D5CDD505-2E9C-101B-9397-08002B2CF9AE}" pid="10" name="AudienceField">
    <vt:lpwstr/>
  </property>
  <property fmtid="{D5CDD505-2E9C-101B-9397-08002B2CF9AE}" pid="11" name="FileReference">
    <vt:lpwstr>09/010/465</vt:lpwstr>
  </property>
  <property fmtid="{D5CDD505-2E9C-101B-9397-08002B2CF9AE}" pid="12" name="IncludeInNotificationsAndUpdates">
    <vt:lpwstr>1</vt:lpwstr>
  </property>
  <property fmtid="{D5CDD505-2E9C-101B-9397-08002B2CF9AE}" pid="13" name="Comments">
    <vt:lpwstr/>
  </property>
  <property fmtid="{D5CDD505-2E9C-101B-9397-08002B2CF9AE}" pid="14" name="Publication Reference">
    <vt:lpwstr/>
  </property>
  <property fmtid="{D5CDD505-2E9C-101B-9397-08002B2CF9AE}" pid="15" name="PublishingExpirationDate">
    <vt:lpwstr/>
  </property>
  <property fmtid="{D5CDD505-2E9C-101B-9397-08002B2CF9AE}" pid="16" name="PublishingStartDate">
    <vt:lpwstr/>
  </property>
</Properties>
</file>