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dams Documents\Publishing\NSRC\"/>
    </mc:Choice>
  </mc:AlternateContent>
  <bookViews>
    <workbookView xWindow="0" yWindow="0" windowWidth="25200" windowHeight="11385"/>
  </bookViews>
  <sheets>
    <sheet name="Table 1 fin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1" l="1"/>
  <c r="P23" i="1"/>
  <c r="N8" i="1" l="1"/>
  <c r="P35" i="1" l="1"/>
  <c r="N35" i="1"/>
  <c r="P34" i="1"/>
  <c r="O34" i="1"/>
  <c r="N34" i="1"/>
  <c r="M30" i="1"/>
  <c r="L30" i="1"/>
  <c r="K30" i="1"/>
  <c r="J30" i="1"/>
  <c r="I30" i="1"/>
  <c r="H30" i="1"/>
  <c r="F30" i="1"/>
  <c r="E30" i="1"/>
  <c r="C30" i="1"/>
  <c r="B30" i="1"/>
  <c r="P29" i="1"/>
  <c r="O29" i="1"/>
  <c r="N29" i="1"/>
  <c r="P26" i="1"/>
  <c r="O26" i="1"/>
  <c r="N26" i="1"/>
  <c r="P25" i="1"/>
  <c r="O25" i="1"/>
  <c r="N25" i="1"/>
  <c r="P24" i="1"/>
  <c r="O24" i="1"/>
  <c r="N24" i="1"/>
  <c r="L23" i="1"/>
  <c r="K23" i="1"/>
  <c r="J23" i="1"/>
  <c r="I23" i="1"/>
  <c r="H23" i="1"/>
  <c r="E23" i="1"/>
  <c r="D23" i="1"/>
  <c r="C23" i="1"/>
  <c r="B23" i="1"/>
  <c r="M20" i="1"/>
  <c r="L20" i="1"/>
  <c r="K20" i="1"/>
  <c r="J20" i="1"/>
  <c r="I20" i="1"/>
  <c r="H20" i="1"/>
  <c r="G20" i="1"/>
  <c r="F20" i="1"/>
  <c r="E20" i="1"/>
  <c r="D20" i="1"/>
  <c r="C20" i="1"/>
  <c r="B20" i="1"/>
  <c r="P19" i="1"/>
  <c r="O19" i="1"/>
  <c r="N19" i="1"/>
  <c r="P18" i="1"/>
  <c r="N18" i="1"/>
  <c r="P17" i="1"/>
  <c r="O17" i="1"/>
  <c r="N17" i="1"/>
  <c r="P16" i="1"/>
  <c r="O16" i="1"/>
  <c r="N16" i="1"/>
  <c r="P15" i="1"/>
  <c r="O15" i="1"/>
  <c r="N15" i="1"/>
  <c r="P12" i="1"/>
  <c r="O12" i="1"/>
  <c r="N12" i="1"/>
  <c r="M9" i="1"/>
  <c r="L9" i="1"/>
  <c r="K9" i="1"/>
  <c r="J9" i="1"/>
  <c r="I9" i="1"/>
  <c r="H9" i="1"/>
  <c r="G9" i="1"/>
  <c r="F9" i="1"/>
  <c r="E9" i="1"/>
  <c r="D9" i="1"/>
  <c r="C9" i="1"/>
  <c r="B9" i="1"/>
  <c r="P8" i="1"/>
  <c r="O8" i="1"/>
  <c r="P20" i="1" l="1"/>
  <c r="N9" i="1"/>
  <c r="N30" i="1"/>
  <c r="O9" i="1"/>
  <c r="N20" i="1"/>
  <c r="N23" i="1"/>
  <c r="O30" i="1"/>
  <c r="P9" i="1"/>
  <c r="O20" i="1"/>
  <c r="O23" i="1"/>
  <c r="P30" i="1"/>
</calcChain>
</file>

<file path=xl/sharedStrings.xml><?xml version="1.0" encoding="utf-8"?>
<sst xmlns="http://schemas.openxmlformats.org/spreadsheetml/2006/main" count="42" uniqueCount="42">
  <si>
    <t>CSIRO</t>
  </si>
  <si>
    <t>Universities</t>
  </si>
  <si>
    <t>MRIs</t>
  </si>
  <si>
    <t>Totals</t>
  </si>
  <si>
    <t>Table 1a:  Resourcing for commercialisation</t>
  </si>
  <si>
    <t>Research commercialisation staff (FTE)(No.)</t>
  </si>
  <si>
    <t>Research commercialisation staff costs ($'000)</t>
  </si>
  <si>
    <t>Table 1c:  Licensing activity</t>
  </si>
  <si>
    <t>Material Transfer Agreements (No.)</t>
  </si>
  <si>
    <t>Material Transfer Agreements Income</t>
  </si>
  <si>
    <t>LOAs active (No.)</t>
  </si>
  <si>
    <t>LOAs yielding income (No.)</t>
  </si>
  <si>
    <t>Table 1d:  Start-up company activity</t>
  </si>
  <si>
    <t xml:space="preserve">Value of equity holdings ($'000) </t>
  </si>
  <si>
    <t>Operational start-up companies which are 
dependent on licensing/assignment of technologies (No.)</t>
  </si>
  <si>
    <t>Start-up companies created (No)</t>
  </si>
  <si>
    <t>Contracts, collaborations and consultancy 
agreements entered into (No.)</t>
  </si>
  <si>
    <t>Total gross agreed value ($'000)</t>
  </si>
  <si>
    <t>Value of direct sales ($'000)</t>
  </si>
  <si>
    <t>Number of Institutions offering industry 
skills training</t>
  </si>
  <si>
    <t>Sum of Number of industry skills training participants &lt;= 2013</t>
  </si>
  <si>
    <t>Notes:</t>
  </si>
  <si>
    <t>Summary of Selected NSRC survey metrics 2013, 2014, 2015</t>
  </si>
  <si>
    <t>Table 1b:  Intellectual property activity</t>
  </si>
  <si>
    <t>2. All dollar values have been adjusted to 2015 prices</t>
  </si>
  <si>
    <t>Table 1e:  Research contracts, consultancy activity and direct sales transactions</t>
  </si>
  <si>
    <t>Table 1f:  Skills development and transfer activity</t>
  </si>
  <si>
    <t xml:space="preserve">4. Industry skills training definitions vary for the period.  In 2013, industry skills training included commercialisation and entreprenuership training for researchers and research students as part of their professional development.  </t>
  </si>
  <si>
    <t>-</t>
  </si>
  <si>
    <t>1. (-) indicates that data is not available</t>
  </si>
  <si>
    <t>Adjusted gross LOA income ($'000)</t>
  </si>
  <si>
    <t>Start-up companies in which
 institutions have an equity holding (No.)</t>
  </si>
  <si>
    <t>3.  In 2014, data on start-up company activity was collected through an administrative process outside of the NSRC instrument, which may have impacted the data.</t>
  </si>
  <si>
    <t xml:space="preserve"> The definition of participants in 2014 refers to researchers or research students while in 2015, they refer to research students or academic researchers.</t>
  </si>
  <si>
    <t>Invention disclosures (No.)</t>
  </si>
  <si>
    <t>LOAs executed (No.)</t>
  </si>
  <si>
    <t>PFRA*</t>
  </si>
  <si>
    <t>* excludes CSIRO</t>
  </si>
  <si>
    <t>Number of NSRC Participants</t>
  </si>
  <si>
    <t xml:space="preserve">3. Data on contracts, collaborations and consultancy agreements only started collecting collaborations in 2014. </t>
  </si>
  <si>
    <t xml:space="preserve"> Commencing in 2014, it became broader encompassing industry skills training which may include but not limited to entreprenuership, commercialisation business management, communication and teamwork. </t>
  </si>
  <si>
    <t>5. Figures have been rounded to the nearest whole value.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</si>
</sst>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\$#,##0.00;\-\$#,##0.00;\$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0" fillId="0" borderId="2" xfId="0" applyBorder="1"/>
    <xf numFmtId="0" fontId="0" fillId="0" borderId="3" xfId="0" applyBorder="1"/>
    <xf numFmtId="0" fontId="2" fillId="2" borderId="4" xfId="0" applyFont="1" applyFill="1" applyBorder="1"/>
    <xf numFmtId="0" fontId="4" fillId="4" borderId="4" xfId="0" applyFont="1" applyFill="1" applyBorder="1" applyAlignment="1">
      <alignment horizontal="left"/>
    </xf>
    <xf numFmtId="164" fontId="0" fillId="4" borderId="0" xfId="1" applyFont="1" applyFill="1" applyBorder="1"/>
    <xf numFmtId="3" fontId="0" fillId="4" borderId="0" xfId="1" applyNumberFormat="1" applyFont="1" applyFill="1" applyBorder="1"/>
    <xf numFmtId="3" fontId="0" fillId="4" borderId="5" xfId="1" applyNumberFormat="1" applyFont="1" applyFill="1" applyBorder="1"/>
    <xf numFmtId="165" fontId="0" fillId="0" borderId="0" xfId="0" applyNumberFormat="1"/>
    <xf numFmtId="0" fontId="0" fillId="0" borderId="4" xfId="0" applyBorder="1" applyAlignment="1">
      <alignment horizontal="left"/>
    </xf>
    <xf numFmtId="1" fontId="0" fillId="0" borderId="0" xfId="0" applyNumberFormat="1" applyBorder="1"/>
    <xf numFmtId="1" fontId="0" fillId="5" borderId="0" xfId="0" applyNumberFormat="1" applyFill="1" applyBorder="1"/>
    <xf numFmtId="3" fontId="0" fillId="5" borderId="0" xfId="1" applyNumberFormat="1" applyFont="1" applyFill="1" applyBorder="1"/>
    <xf numFmtId="3" fontId="0" fillId="5" borderId="5" xfId="1" applyNumberFormat="1" applyFont="1" applyFill="1" applyBorder="1"/>
    <xf numFmtId="0" fontId="0" fillId="0" borderId="0" xfId="0" applyNumberFormat="1"/>
    <xf numFmtId="3" fontId="0" fillId="0" borderId="0" xfId="1" applyNumberFormat="1" applyFont="1" applyBorder="1"/>
    <xf numFmtId="165" fontId="0" fillId="0" borderId="0" xfId="0" applyNumberFormat="1" applyFill="1"/>
    <xf numFmtId="3" fontId="0" fillId="0" borderId="0" xfId="0" applyNumberFormat="1" applyBorder="1"/>
    <xf numFmtId="3" fontId="0" fillId="5" borderId="0" xfId="0" applyNumberFormat="1" applyFill="1" applyBorder="1"/>
    <xf numFmtId="3" fontId="0" fillId="4" borderId="0" xfId="0" applyNumberFormat="1" applyFill="1" applyBorder="1"/>
    <xf numFmtId="1" fontId="0" fillId="0" borderId="0" xfId="0" applyNumberFormat="1"/>
    <xf numFmtId="0" fontId="0" fillId="0" borderId="0" xfId="0" applyNumberFormat="1" applyFill="1"/>
    <xf numFmtId="0" fontId="0" fillId="0" borderId="4" xfId="0" applyBorder="1" applyAlignment="1">
      <alignment horizontal="left" wrapText="1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0" borderId="6" xfId="0" applyBorder="1" applyAlignment="1">
      <alignment horizontal="left"/>
    </xf>
    <xf numFmtId="3" fontId="0" fillId="0" borderId="7" xfId="0" applyNumberFormat="1" applyBorder="1"/>
    <xf numFmtId="3" fontId="0" fillId="5" borderId="7" xfId="0" applyNumberFormat="1" applyFill="1" applyBorder="1"/>
    <xf numFmtId="3" fontId="0" fillId="5" borderId="7" xfId="1" applyNumberFormat="1" applyFont="1" applyFill="1" applyBorder="1"/>
    <xf numFmtId="3" fontId="0" fillId="5" borderId="8" xfId="1" applyNumberFormat="1" applyFont="1" applyFill="1" applyBorder="1"/>
    <xf numFmtId="3" fontId="0" fillId="0" borderId="0" xfId="0" applyNumberFormat="1"/>
    <xf numFmtId="0" fontId="0" fillId="0" borderId="0" xfId="0" applyAlignment="1">
      <alignment horizontal="left"/>
    </xf>
    <xf numFmtId="164" fontId="0" fillId="0" borderId="0" xfId="1" applyFont="1"/>
    <xf numFmtId="0" fontId="0" fillId="0" borderId="4" xfId="0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3" fontId="0" fillId="0" borderId="7" xfId="0" applyNumberFormat="1" applyBorder="1" applyAlignment="1">
      <alignment horizontal="center"/>
    </xf>
    <xf numFmtId="0" fontId="0" fillId="0" borderId="4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4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" fontId="0" fillId="4" borderId="0" xfId="1" applyNumberFormat="1" applyFont="1" applyFill="1" applyBorder="1"/>
    <xf numFmtId="1" fontId="0" fillId="4" borderId="5" xfId="1" applyNumberFormat="1" applyFont="1" applyFill="1" applyBorder="1"/>
    <xf numFmtId="0" fontId="2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45"/>
  <sheetViews>
    <sheetView tabSelected="1" zoomScale="84" zoomScaleNormal="84" workbookViewId="0">
      <selection activeCell="C45" sqref="C45"/>
    </sheetView>
  </sheetViews>
  <sheetFormatPr defaultRowHeight="15" x14ac:dyDescent="0.25"/>
  <cols>
    <col min="1" max="1" width="41" customWidth="1"/>
    <col min="2" max="2" width="17.5703125" customWidth="1"/>
    <col min="3" max="3" width="17.7109375" customWidth="1"/>
    <col min="4" max="4" width="17.5703125" customWidth="1"/>
    <col min="5" max="5" width="20.42578125" customWidth="1"/>
    <col min="6" max="6" width="15.7109375" customWidth="1"/>
    <col min="7" max="7" width="16.7109375" customWidth="1"/>
    <col min="8" max="8" width="19.28515625" customWidth="1"/>
    <col min="9" max="9" width="16.42578125" customWidth="1"/>
    <col min="10" max="10" width="16.5703125" customWidth="1"/>
    <col min="11" max="11" width="15.85546875" customWidth="1"/>
    <col min="12" max="12" width="13.5703125" customWidth="1"/>
    <col min="13" max="13" width="14.5703125" customWidth="1"/>
    <col min="14" max="14" width="16.85546875" customWidth="1"/>
    <col min="15" max="15" width="15.42578125" customWidth="1"/>
    <col min="16" max="16" width="16.5703125" customWidth="1"/>
    <col min="17" max="17" width="18.7109375" customWidth="1"/>
    <col min="18" max="18" width="23.85546875" customWidth="1"/>
    <col min="19" max="19" width="22.42578125" customWidth="1"/>
    <col min="20" max="20" width="16.5703125" customWidth="1"/>
    <col min="21" max="21" width="24.7109375" customWidth="1"/>
    <col min="22" max="23" width="16.28515625" customWidth="1"/>
    <col min="24" max="24" width="18.85546875" customWidth="1"/>
    <col min="25" max="25" width="17.140625" customWidth="1"/>
    <col min="26" max="26" width="17.85546875" customWidth="1"/>
    <col min="27" max="27" width="19" customWidth="1"/>
    <col min="28" max="28" width="19.85546875" customWidth="1"/>
    <col min="29" max="29" width="23.140625" customWidth="1"/>
    <col min="30" max="30" width="21.28515625" customWidth="1"/>
    <col min="31" max="31" width="21" customWidth="1"/>
  </cols>
  <sheetData>
    <row r="2" spans="1:31" ht="31.5" x14ac:dyDescent="0.5">
      <c r="A2" s="1" t="s">
        <v>22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31" x14ac:dyDescent="0.25">
      <c r="A3" s="5"/>
      <c r="B3" s="47" t="s">
        <v>0</v>
      </c>
      <c r="C3" s="47"/>
      <c r="D3" s="47"/>
      <c r="E3" s="47" t="s">
        <v>36</v>
      </c>
      <c r="F3" s="47"/>
      <c r="G3" s="47"/>
      <c r="H3" s="47" t="s">
        <v>1</v>
      </c>
      <c r="I3" s="47"/>
      <c r="J3" s="47"/>
      <c r="K3" s="47" t="s">
        <v>2</v>
      </c>
      <c r="L3" s="47"/>
      <c r="M3" s="47"/>
      <c r="N3" s="48" t="s">
        <v>3</v>
      </c>
      <c r="O3" s="48"/>
      <c r="P3" s="49"/>
    </row>
    <row r="4" spans="1:31" x14ac:dyDescent="0.25">
      <c r="A4" s="5"/>
      <c r="B4" s="42">
        <v>2013</v>
      </c>
      <c r="C4" s="42">
        <v>2014</v>
      </c>
      <c r="D4" s="42">
        <v>2015</v>
      </c>
      <c r="E4" s="42">
        <v>2013</v>
      </c>
      <c r="F4" s="42">
        <v>2014</v>
      </c>
      <c r="G4" s="42">
        <v>2015</v>
      </c>
      <c r="H4" s="42">
        <v>2013</v>
      </c>
      <c r="I4" s="42">
        <v>2014</v>
      </c>
      <c r="J4" s="42">
        <v>2015</v>
      </c>
      <c r="K4" s="42">
        <v>2013</v>
      </c>
      <c r="L4" s="42">
        <v>2014</v>
      </c>
      <c r="M4" s="42">
        <v>2015</v>
      </c>
      <c r="N4" s="43">
        <v>2013</v>
      </c>
      <c r="O4" s="43">
        <v>2014</v>
      </c>
      <c r="P4" s="44">
        <v>2015</v>
      </c>
    </row>
    <row r="5" spans="1:31" ht="21" x14ac:dyDescent="0.35">
      <c r="A5" s="6" t="s">
        <v>38</v>
      </c>
      <c r="B5" s="45">
        <v>1</v>
      </c>
      <c r="C5" s="45">
        <v>1</v>
      </c>
      <c r="D5" s="45">
        <v>1</v>
      </c>
      <c r="E5" s="45">
        <v>4</v>
      </c>
      <c r="F5" s="45">
        <v>6</v>
      </c>
      <c r="G5" s="45">
        <v>6</v>
      </c>
      <c r="H5" s="45">
        <v>38</v>
      </c>
      <c r="I5" s="45">
        <v>37</v>
      </c>
      <c r="J5" s="45">
        <v>38</v>
      </c>
      <c r="K5" s="45">
        <v>23</v>
      </c>
      <c r="L5" s="45">
        <v>19</v>
      </c>
      <c r="M5" s="45">
        <v>21</v>
      </c>
      <c r="N5" s="45">
        <v>66</v>
      </c>
      <c r="O5" s="45">
        <v>63</v>
      </c>
      <c r="P5" s="46">
        <v>66</v>
      </c>
      <c r="V5" s="10"/>
      <c r="AD5" s="10"/>
      <c r="AE5" s="10"/>
    </row>
    <row r="7" spans="1:31" ht="21" x14ac:dyDescent="0.35">
      <c r="A7" s="6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8"/>
      <c r="P7" s="9"/>
      <c r="V7" s="10"/>
      <c r="AD7" s="10"/>
      <c r="AE7" s="10"/>
    </row>
    <row r="8" spans="1:31" x14ac:dyDescent="0.25">
      <c r="A8" s="11" t="s">
        <v>5</v>
      </c>
      <c r="B8" s="12">
        <v>138</v>
      </c>
      <c r="C8" s="12">
        <v>154</v>
      </c>
      <c r="D8" s="12">
        <v>144</v>
      </c>
      <c r="E8" s="12">
        <v>51.24</v>
      </c>
      <c r="F8" s="12">
        <v>46.8</v>
      </c>
      <c r="G8" s="12">
        <v>47.56</v>
      </c>
      <c r="H8" s="12">
        <v>489.62</v>
      </c>
      <c r="I8" s="12">
        <v>306.19</v>
      </c>
      <c r="J8" s="12">
        <v>333.21</v>
      </c>
      <c r="K8" s="12">
        <v>45.23</v>
      </c>
      <c r="L8" s="12">
        <v>33.24</v>
      </c>
      <c r="M8" s="12">
        <v>45.92</v>
      </c>
      <c r="N8" s="13">
        <f>B8+E8+H8+K8</f>
        <v>724.09</v>
      </c>
      <c r="O8" s="14">
        <f t="shared" ref="N8:P34" si="0">C8+F8+I8+L8</f>
        <v>540.23</v>
      </c>
      <c r="P8" s="15">
        <f t="shared" si="0"/>
        <v>570.68999999999994</v>
      </c>
      <c r="V8" s="16"/>
      <c r="AD8" s="16"/>
      <c r="AE8" s="10"/>
    </row>
    <row r="9" spans="1:31" x14ac:dyDescent="0.25">
      <c r="A9" s="11" t="s">
        <v>6</v>
      </c>
      <c r="B9" s="17">
        <f>21591364.5519/1000</f>
        <v>21591.364551899998</v>
      </c>
      <c r="C9" s="17">
        <f>29791459.7815/1000</f>
        <v>29791.459781500002</v>
      </c>
      <c r="D9" s="17">
        <f>21000000/1000</f>
        <v>21000</v>
      </c>
      <c r="E9" s="17">
        <f>8058643.9075/1000</f>
        <v>8058.6439074999998</v>
      </c>
      <c r="F9" s="17">
        <f>5646108.2423/1000</f>
        <v>5646.1082422999998</v>
      </c>
      <c r="G9" s="17">
        <f>6704451/1000</f>
        <v>6704.451</v>
      </c>
      <c r="H9" s="17">
        <f>59175559.698/1000</f>
        <v>59175.559697999997</v>
      </c>
      <c r="I9" s="17">
        <f>29908616.6835/1000</f>
        <v>29908.6166835</v>
      </c>
      <c r="J9" s="17">
        <f>30537245.27/1000</f>
        <v>30537.245269999999</v>
      </c>
      <c r="K9" s="17">
        <f>6381933.4946/1000</f>
        <v>6381.9334945999999</v>
      </c>
      <c r="L9" s="17">
        <f>6089575.9684/1000</f>
        <v>6089.5759683999995</v>
      </c>
      <c r="M9" s="17">
        <f>5693137/1000</f>
        <v>5693.1369999999997</v>
      </c>
      <c r="N9" s="14">
        <f t="shared" si="0"/>
        <v>95207.501652000006</v>
      </c>
      <c r="O9" s="14">
        <f t="shared" si="0"/>
        <v>71435.760675699988</v>
      </c>
      <c r="P9" s="15">
        <f t="shared" si="0"/>
        <v>63934.833270000003</v>
      </c>
      <c r="V9" s="10"/>
      <c r="AD9" s="18"/>
      <c r="AE9" s="10"/>
    </row>
    <row r="10" spans="1:31" x14ac:dyDescent="0.25">
      <c r="A10" s="11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/>
      <c r="O10" s="14"/>
      <c r="P10" s="15"/>
      <c r="V10" s="10"/>
      <c r="AD10" s="18"/>
      <c r="AE10" s="10"/>
    </row>
    <row r="11" spans="1:31" ht="21" x14ac:dyDescent="0.35">
      <c r="A11" s="6" t="s">
        <v>23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8"/>
      <c r="P11" s="9"/>
      <c r="V11" s="10"/>
      <c r="AD11" s="18"/>
      <c r="AE11" s="10"/>
    </row>
    <row r="12" spans="1:31" x14ac:dyDescent="0.25">
      <c r="A12" s="11" t="s">
        <v>34</v>
      </c>
      <c r="B12" s="19">
        <v>84</v>
      </c>
      <c r="C12" s="19">
        <v>70</v>
      </c>
      <c r="D12" s="19">
        <v>72</v>
      </c>
      <c r="E12" s="19">
        <v>31</v>
      </c>
      <c r="F12" s="19">
        <v>26</v>
      </c>
      <c r="G12" s="19">
        <v>22</v>
      </c>
      <c r="H12" s="19">
        <v>1044</v>
      </c>
      <c r="I12" s="19">
        <v>957</v>
      </c>
      <c r="J12" s="19">
        <v>982</v>
      </c>
      <c r="K12" s="19">
        <v>261</v>
      </c>
      <c r="L12" s="19">
        <v>150</v>
      </c>
      <c r="M12" s="19">
        <v>231</v>
      </c>
      <c r="N12" s="20">
        <f t="shared" si="0"/>
        <v>1420</v>
      </c>
      <c r="O12" s="14">
        <f t="shared" si="0"/>
        <v>1203</v>
      </c>
      <c r="P12" s="15">
        <f t="shared" si="0"/>
        <v>1307</v>
      </c>
      <c r="V12" s="22"/>
      <c r="AD12" s="22"/>
      <c r="AE12" s="10"/>
    </row>
    <row r="13" spans="1:31" x14ac:dyDescent="0.25">
      <c r="A13" s="11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20"/>
      <c r="O13" s="14"/>
      <c r="P13" s="15"/>
      <c r="V13" s="22"/>
      <c r="AD13" s="22"/>
      <c r="AE13" s="10"/>
    </row>
    <row r="14" spans="1:31" ht="21" x14ac:dyDescent="0.35">
      <c r="A14" s="6" t="s">
        <v>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8"/>
      <c r="P14" s="9"/>
      <c r="V14" s="22"/>
      <c r="AD14" s="22"/>
      <c r="AE14" s="10"/>
    </row>
    <row r="15" spans="1:31" x14ac:dyDescent="0.25">
      <c r="A15" s="11" t="s">
        <v>8</v>
      </c>
      <c r="B15" s="19">
        <v>138</v>
      </c>
      <c r="C15" s="19">
        <v>79</v>
      </c>
      <c r="D15" s="19">
        <v>156</v>
      </c>
      <c r="E15" s="19">
        <v>27</v>
      </c>
      <c r="F15" s="19">
        <v>4</v>
      </c>
      <c r="G15" s="19">
        <v>9</v>
      </c>
      <c r="H15" s="19">
        <v>427</v>
      </c>
      <c r="I15" s="19">
        <v>528</v>
      </c>
      <c r="J15" s="19">
        <v>451</v>
      </c>
      <c r="K15" s="19">
        <v>346</v>
      </c>
      <c r="L15" s="19">
        <v>513</v>
      </c>
      <c r="M15" s="19">
        <v>607</v>
      </c>
      <c r="N15" s="20">
        <f t="shared" si="0"/>
        <v>938</v>
      </c>
      <c r="O15" s="14">
        <f t="shared" si="0"/>
        <v>1124</v>
      </c>
      <c r="P15" s="15">
        <f t="shared" si="0"/>
        <v>1223</v>
      </c>
      <c r="V15" s="16"/>
      <c r="AD15" s="16"/>
      <c r="AE15" s="10"/>
    </row>
    <row r="16" spans="1:31" x14ac:dyDescent="0.25">
      <c r="A16" s="11" t="s">
        <v>9</v>
      </c>
      <c r="B16" s="19">
        <v>6042.2960999999996</v>
      </c>
      <c r="C16" s="19">
        <v>469274.08140000002</v>
      </c>
      <c r="D16" s="19">
        <v>82823</v>
      </c>
      <c r="E16" s="19">
        <v>0</v>
      </c>
      <c r="F16" s="19">
        <v>0</v>
      </c>
      <c r="G16" s="19">
        <v>0</v>
      </c>
      <c r="H16" s="19">
        <v>2381.6712000000002</v>
      </c>
      <c r="I16" s="19">
        <v>18510.427100000001</v>
      </c>
      <c r="J16" s="19">
        <v>102986</v>
      </c>
      <c r="K16" s="19">
        <v>213424.9748</v>
      </c>
      <c r="L16" s="19">
        <v>8937.4379000000008</v>
      </c>
      <c r="M16" s="19">
        <v>26000</v>
      </c>
      <c r="N16" s="20">
        <f t="shared" si="0"/>
        <v>221848.94209999999</v>
      </c>
      <c r="O16" s="14">
        <f t="shared" si="0"/>
        <v>496721.94640000002</v>
      </c>
      <c r="P16" s="15">
        <f t="shared" si="0"/>
        <v>211809</v>
      </c>
      <c r="V16" s="10"/>
      <c r="AD16" s="10"/>
      <c r="AE16" s="10"/>
    </row>
    <row r="17" spans="1:31" x14ac:dyDescent="0.25">
      <c r="A17" s="11" t="s">
        <v>35</v>
      </c>
      <c r="B17" s="19">
        <v>130</v>
      </c>
      <c r="C17" s="19">
        <v>54</v>
      </c>
      <c r="D17" s="19">
        <v>92</v>
      </c>
      <c r="E17" s="19">
        <v>32</v>
      </c>
      <c r="F17" s="19">
        <v>16</v>
      </c>
      <c r="G17" s="19">
        <v>10</v>
      </c>
      <c r="H17" s="19">
        <v>431</v>
      </c>
      <c r="I17" s="19">
        <v>617</v>
      </c>
      <c r="J17" s="19">
        <v>480</v>
      </c>
      <c r="K17" s="19">
        <v>38</v>
      </c>
      <c r="L17" s="19">
        <v>45</v>
      </c>
      <c r="M17" s="19">
        <v>63</v>
      </c>
      <c r="N17" s="20">
        <f t="shared" si="0"/>
        <v>631</v>
      </c>
      <c r="O17" s="14">
        <f t="shared" si="0"/>
        <v>732</v>
      </c>
      <c r="P17" s="15">
        <f t="shared" si="0"/>
        <v>645</v>
      </c>
      <c r="V17" s="22"/>
      <c r="AD17" s="22"/>
      <c r="AE17" s="10"/>
    </row>
    <row r="18" spans="1:31" x14ac:dyDescent="0.25">
      <c r="A18" s="11" t="s">
        <v>10</v>
      </c>
      <c r="B18" s="19">
        <v>479</v>
      </c>
      <c r="C18" s="19">
        <v>300</v>
      </c>
      <c r="D18" s="19">
        <v>333</v>
      </c>
      <c r="E18" s="19">
        <v>207</v>
      </c>
      <c r="F18" s="19">
        <v>129</v>
      </c>
      <c r="G18" s="19">
        <v>135</v>
      </c>
      <c r="H18" s="19">
        <v>1610.6599999999999</v>
      </c>
      <c r="I18" s="19">
        <v>1608.52</v>
      </c>
      <c r="J18" s="19">
        <v>2072.6800000000003</v>
      </c>
      <c r="K18" s="19">
        <v>157</v>
      </c>
      <c r="L18" s="19">
        <v>197.5</v>
      </c>
      <c r="M18" s="19">
        <v>249</v>
      </c>
      <c r="N18" s="20">
        <f t="shared" si="0"/>
        <v>2453.66</v>
      </c>
      <c r="O18" s="14">
        <v>2236</v>
      </c>
      <c r="P18" s="15">
        <f t="shared" si="0"/>
        <v>2789.6800000000003</v>
      </c>
      <c r="V18" s="16"/>
      <c r="AD18" s="23"/>
      <c r="AE18" s="10"/>
    </row>
    <row r="19" spans="1:31" x14ac:dyDescent="0.25">
      <c r="A19" s="11" t="s">
        <v>11</v>
      </c>
      <c r="B19" s="19">
        <v>280</v>
      </c>
      <c r="C19" s="19">
        <v>148</v>
      </c>
      <c r="D19" s="19">
        <v>145</v>
      </c>
      <c r="E19" s="19">
        <v>1</v>
      </c>
      <c r="F19" s="19">
        <v>18</v>
      </c>
      <c r="G19" s="19">
        <v>14</v>
      </c>
      <c r="H19" s="19">
        <v>617.5</v>
      </c>
      <c r="I19" s="19">
        <v>419</v>
      </c>
      <c r="J19" s="19">
        <v>613</v>
      </c>
      <c r="K19" s="19">
        <v>51</v>
      </c>
      <c r="L19" s="19">
        <v>65</v>
      </c>
      <c r="M19" s="19">
        <v>70</v>
      </c>
      <c r="N19" s="20">
        <f t="shared" si="0"/>
        <v>949.5</v>
      </c>
      <c r="O19" s="14">
        <f t="shared" si="0"/>
        <v>650</v>
      </c>
      <c r="P19" s="15">
        <f t="shared" si="0"/>
        <v>842</v>
      </c>
      <c r="V19" s="16"/>
      <c r="AD19" s="16"/>
      <c r="AE19" s="10"/>
    </row>
    <row r="20" spans="1:31" x14ac:dyDescent="0.25">
      <c r="A20" s="40" t="s">
        <v>30</v>
      </c>
      <c r="B20" s="19">
        <f>41785629.4058/1000</f>
        <v>41785.629405799998</v>
      </c>
      <c r="C20" s="19">
        <f>38450247.2691/1000</f>
        <v>38450.2472691</v>
      </c>
      <c r="D20" s="19">
        <f>81157846/1000</f>
        <v>81157.846000000005</v>
      </c>
      <c r="E20" s="19">
        <f>3021.148/1000</f>
        <v>3.0211480000000002</v>
      </c>
      <c r="F20" s="19">
        <f>5387322.7408/1000</f>
        <v>5387.3227408000002</v>
      </c>
      <c r="G20" s="19">
        <f>7732268/1000</f>
        <v>7732.268</v>
      </c>
      <c r="H20" s="19">
        <f>71187904.3103/1000</f>
        <v>71187.904310299986</v>
      </c>
      <c r="I20" s="19">
        <f>57599234.876/1000</f>
        <v>57599.234876000002</v>
      </c>
      <c r="J20" s="19">
        <f>59521462.01/1000</f>
        <v>59521.462009999996</v>
      </c>
      <c r="K20" s="19">
        <f>8081349.5367/1000</f>
        <v>8081.3495367000005</v>
      </c>
      <c r="L20" s="19">
        <f>28999460.8243/1000</f>
        <v>28999.4608243</v>
      </c>
      <c r="M20" s="19">
        <f>34503529.25/1000</f>
        <v>34503.52925</v>
      </c>
      <c r="N20" s="20">
        <f t="shared" si="0"/>
        <v>121057.90440079998</v>
      </c>
      <c r="O20" s="14">
        <f t="shared" si="0"/>
        <v>130436.26571019999</v>
      </c>
      <c r="P20" s="15">
        <f t="shared" si="0"/>
        <v>182915.10525999998</v>
      </c>
      <c r="V20" s="10"/>
      <c r="AD20" s="10"/>
      <c r="AE20" s="10"/>
    </row>
    <row r="21" spans="1:31" x14ac:dyDescent="0.25">
      <c r="A21" s="11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20"/>
      <c r="O21" s="14"/>
      <c r="P21" s="15"/>
      <c r="V21" s="10"/>
      <c r="AD21" s="10"/>
      <c r="AE21" s="10"/>
    </row>
    <row r="22" spans="1:31" ht="21" x14ac:dyDescent="0.35">
      <c r="A22" s="6" t="s">
        <v>12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8"/>
      <c r="P22" s="9"/>
      <c r="V22" s="10"/>
      <c r="AD22" s="10"/>
      <c r="AE22" s="10"/>
    </row>
    <row r="23" spans="1:31" x14ac:dyDescent="0.25">
      <c r="A23" s="11" t="s">
        <v>13</v>
      </c>
      <c r="B23" s="19">
        <f>11364020.141/1000</f>
        <v>11364.020141000001</v>
      </c>
      <c r="C23" s="19">
        <f>12909632.572/1000</f>
        <v>12909.632572</v>
      </c>
      <c r="D23" s="19">
        <f>22664086/1000</f>
        <v>22664.085999999999</v>
      </c>
      <c r="E23" s="19">
        <f>5366565.9617/1000</f>
        <v>5366.5659617000001</v>
      </c>
      <c r="F23" s="19">
        <v>1876</v>
      </c>
      <c r="G23" s="19">
        <v>1939</v>
      </c>
      <c r="H23" s="19">
        <f>111788842.4571/1000</f>
        <v>111788.84245710001</v>
      </c>
      <c r="I23" s="19">
        <f>67562883.8133/1000</f>
        <v>67562.883813299995</v>
      </c>
      <c r="J23" s="19">
        <f>88618642/1000</f>
        <v>88618.642000000007</v>
      </c>
      <c r="K23" s="19">
        <f>16546299.0131/1000</f>
        <v>16546.299013100001</v>
      </c>
      <c r="L23" s="19">
        <f>13821680/1000</f>
        <v>13821.68</v>
      </c>
      <c r="M23" s="19">
        <v>15377</v>
      </c>
      <c r="N23" s="20">
        <f>B23+E23+H23+K23</f>
        <v>145065.72757290001</v>
      </c>
      <c r="O23" s="14">
        <f>C23+F23+I23+L23</f>
        <v>96170.196385299991</v>
      </c>
      <c r="P23" s="15">
        <f>D23+G23+J23+M23</f>
        <v>128598.728</v>
      </c>
      <c r="V23" s="10"/>
      <c r="AD23" s="10"/>
      <c r="AE23" s="10"/>
    </row>
    <row r="24" spans="1:31" ht="45" x14ac:dyDescent="0.25">
      <c r="A24" s="24" t="s">
        <v>14</v>
      </c>
      <c r="B24" s="19">
        <v>1</v>
      </c>
      <c r="C24" s="19">
        <v>6</v>
      </c>
      <c r="D24" s="19">
        <v>5</v>
      </c>
      <c r="E24" s="19">
        <v>10</v>
      </c>
      <c r="F24" s="19">
        <v>9</v>
      </c>
      <c r="G24" s="19">
        <v>13</v>
      </c>
      <c r="H24" s="19">
        <v>182</v>
      </c>
      <c r="I24" s="19">
        <v>86</v>
      </c>
      <c r="J24" s="19">
        <v>130</v>
      </c>
      <c r="K24" s="19">
        <v>23</v>
      </c>
      <c r="L24" s="19">
        <v>19</v>
      </c>
      <c r="M24" s="19">
        <v>29</v>
      </c>
      <c r="N24" s="20">
        <f t="shared" si="0"/>
        <v>216</v>
      </c>
      <c r="O24" s="14">
        <f t="shared" si="0"/>
        <v>120</v>
      </c>
      <c r="P24" s="15">
        <f t="shared" si="0"/>
        <v>177</v>
      </c>
      <c r="V24" s="16"/>
      <c r="AD24" s="16"/>
      <c r="AE24" s="10"/>
    </row>
    <row r="25" spans="1:31" ht="30" x14ac:dyDescent="0.25">
      <c r="A25" s="24" t="s">
        <v>31</v>
      </c>
      <c r="B25" s="19">
        <v>1</v>
      </c>
      <c r="C25" s="19">
        <v>3</v>
      </c>
      <c r="D25" s="19">
        <v>3</v>
      </c>
      <c r="E25" s="19">
        <v>8</v>
      </c>
      <c r="F25" s="19">
        <v>6</v>
      </c>
      <c r="G25" s="19">
        <v>6</v>
      </c>
      <c r="H25" s="19">
        <v>159</v>
      </c>
      <c r="I25" s="19">
        <v>64</v>
      </c>
      <c r="J25" s="19">
        <v>103</v>
      </c>
      <c r="K25" s="19">
        <v>23</v>
      </c>
      <c r="L25" s="19">
        <v>19</v>
      </c>
      <c r="M25" s="19">
        <v>27</v>
      </c>
      <c r="N25" s="20">
        <f t="shared" si="0"/>
        <v>191</v>
      </c>
      <c r="O25" s="14">
        <f t="shared" si="0"/>
        <v>92</v>
      </c>
      <c r="P25" s="15">
        <f t="shared" si="0"/>
        <v>139</v>
      </c>
      <c r="V25" s="16"/>
      <c r="AD25" s="16"/>
      <c r="AE25" s="10"/>
    </row>
    <row r="26" spans="1:31" x14ac:dyDescent="0.25">
      <c r="A26" s="11" t="s">
        <v>15</v>
      </c>
      <c r="B26" s="19">
        <v>0</v>
      </c>
      <c r="C26" s="19">
        <v>2</v>
      </c>
      <c r="D26" s="19">
        <v>1</v>
      </c>
      <c r="E26" s="19">
        <v>3</v>
      </c>
      <c r="F26" s="19">
        <v>0</v>
      </c>
      <c r="G26" s="19">
        <v>3</v>
      </c>
      <c r="H26" s="19">
        <v>21</v>
      </c>
      <c r="I26" s="19">
        <v>5</v>
      </c>
      <c r="J26" s="19">
        <v>29</v>
      </c>
      <c r="K26" s="19">
        <v>2</v>
      </c>
      <c r="L26" s="19">
        <v>3</v>
      </c>
      <c r="M26" s="19">
        <v>9</v>
      </c>
      <c r="N26" s="20">
        <f t="shared" si="0"/>
        <v>26</v>
      </c>
      <c r="O26" s="14">
        <f t="shared" si="0"/>
        <v>10</v>
      </c>
      <c r="P26" s="15">
        <f t="shared" si="0"/>
        <v>42</v>
      </c>
      <c r="V26" s="16"/>
      <c r="AD26" s="16"/>
      <c r="AE26" s="10"/>
    </row>
    <row r="27" spans="1:31" x14ac:dyDescent="0.25">
      <c r="A27" s="11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20"/>
      <c r="O27" s="14"/>
      <c r="P27" s="15"/>
      <c r="V27" s="16"/>
      <c r="AD27" s="16"/>
      <c r="AE27" s="10"/>
    </row>
    <row r="28" spans="1:31" ht="21" x14ac:dyDescent="0.35">
      <c r="A28" s="41" t="s">
        <v>25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8"/>
      <c r="P28" s="9"/>
      <c r="V28" s="16"/>
      <c r="AD28" s="16"/>
      <c r="AE28" s="10"/>
    </row>
    <row r="29" spans="1:31" ht="30" x14ac:dyDescent="0.25">
      <c r="A29" s="24" t="s">
        <v>16</v>
      </c>
      <c r="B29" s="19">
        <v>1891</v>
      </c>
      <c r="C29" s="19">
        <v>2057</v>
      </c>
      <c r="D29" s="19">
        <v>2953</v>
      </c>
      <c r="E29" s="19">
        <v>74</v>
      </c>
      <c r="F29" s="19">
        <v>167</v>
      </c>
      <c r="G29" s="19">
        <v>186</v>
      </c>
      <c r="H29" s="19">
        <v>10046</v>
      </c>
      <c r="I29" s="19">
        <v>11966</v>
      </c>
      <c r="J29" s="19">
        <v>13391</v>
      </c>
      <c r="K29" s="19">
        <v>217</v>
      </c>
      <c r="L29" s="19">
        <v>1198</v>
      </c>
      <c r="M29" s="19">
        <v>1546</v>
      </c>
      <c r="N29" s="20">
        <f t="shared" si="0"/>
        <v>12228</v>
      </c>
      <c r="O29" s="14">
        <f t="shared" si="0"/>
        <v>15388</v>
      </c>
      <c r="P29" s="15">
        <f t="shared" si="0"/>
        <v>18076</v>
      </c>
      <c r="V29" s="16"/>
      <c r="AD29" s="16"/>
      <c r="AE29" s="10"/>
    </row>
    <row r="30" spans="1:31" x14ac:dyDescent="0.25">
      <c r="A30" s="11" t="s">
        <v>17</v>
      </c>
      <c r="B30" s="19">
        <f>350352871.0977/1000</f>
        <v>350352.87109769997</v>
      </c>
      <c r="C30" s="19">
        <f>346896001.9861/1000</f>
        <v>346896.00198609999</v>
      </c>
      <c r="D30" s="19">
        <v>402861</v>
      </c>
      <c r="E30" s="19">
        <f>37799349.4462/1000</f>
        <v>37799.349446200002</v>
      </c>
      <c r="F30" s="19">
        <f>34695315.7896/1000</f>
        <v>34695.315789599998</v>
      </c>
      <c r="G30" s="19">
        <v>45347</v>
      </c>
      <c r="H30" s="19">
        <f>1159959565.7099/1000</f>
        <v>1159959.5657098999</v>
      </c>
      <c r="I30" s="19">
        <f>1310525761.0128/1000</f>
        <v>1310525.7610128</v>
      </c>
      <c r="J30" s="19">
        <f>1204613057.31/1000</f>
        <v>1204613.0573099998</v>
      </c>
      <c r="K30" s="19">
        <f>38943125.8813/1000</f>
        <v>38943.125881300002</v>
      </c>
      <c r="L30" s="19">
        <f>71599726.9115/1000</f>
        <v>71599.726911500009</v>
      </c>
      <c r="M30" s="19">
        <f>129994180.28/1000</f>
        <v>129994.18028</v>
      </c>
      <c r="N30" s="20">
        <f t="shared" si="0"/>
        <v>1587054.9121351</v>
      </c>
      <c r="O30" s="14">
        <f t="shared" si="0"/>
        <v>1763716.8057000001</v>
      </c>
      <c r="P30" s="15">
        <f t="shared" si="0"/>
        <v>1782815.2375899998</v>
      </c>
      <c r="V30" s="16"/>
      <c r="AD30" s="16"/>
      <c r="AE30" s="10"/>
    </row>
    <row r="31" spans="1:31" x14ac:dyDescent="0.25">
      <c r="A31" s="11" t="s">
        <v>18</v>
      </c>
      <c r="B31" s="19">
        <v>18701.795568999998</v>
      </c>
      <c r="C31" s="19">
        <v>19236.042701099999</v>
      </c>
      <c r="D31" s="19">
        <v>19879</v>
      </c>
      <c r="E31" s="19">
        <v>91.605236699999992</v>
      </c>
      <c r="F31" s="19">
        <v>933.46573979999994</v>
      </c>
      <c r="G31" s="19">
        <v>1100</v>
      </c>
      <c r="H31" s="19">
        <v>14.5159114</v>
      </c>
      <c r="I31" s="19">
        <v>131.1976961</v>
      </c>
      <c r="J31" s="19">
        <v>3419.9335099999998</v>
      </c>
      <c r="K31" s="19">
        <v>657.89279959999999</v>
      </c>
      <c r="L31" s="19">
        <v>1239.7785005000001</v>
      </c>
      <c r="M31" s="19">
        <v>1254.7360000000001</v>
      </c>
      <c r="N31" s="20">
        <v>19465.809516699999</v>
      </c>
      <c r="O31" s="14">
        <v>21540.484637499998</v>
      </c>
      <c r="P31" s="15">
        <f>D31+G31+J31+M31</f>
        <v>25653.66951</v>
      </c>
      <c r="V31" s="10"/>
      <c r="AD31" s="10"/>
      <c r="AE31" s="10"/>
    </row>
    <row r="32" spans="1:31" x14ac:dyDescent="0.25">
      <c r="A32" s="11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20"/>
      <c r="O32" s="14"/>
      <c r="P32" s="15"/>
      <c r="V32" s="10"/>
      <c r="AD32" s="10"/>
      <c r="AE32" s="10"/>
    </row>
    <row r="33" spans="1:31" ht="21" x14ac:dyDescent="0.35">
      <c r="A33" s="41" t="s">
        <v>26</v>
      </c>
      <c r="B33" s="6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6"/>
      <c r="V33" s="10"/>
      <c r="AD33" s="10"/>
      <c r="AE33" s="10"/>
    </row>
    <row r="34" spans="1:31" ht="30" x14ac:dyDescent="0.25">
      <c r="A34" s="24" t="s">
        <v>19</v>
      </c>
      <c r="B34" s="19">
        <v>1</v>
      </c>
      <c r="C34" s="19">
        <v>1</v>
      </c>
      <c r="D34" s="19">
        <v>1</v>
      </c>
      <c r="E34" s="19">
        <v>2</v>
      </c>
      <c r="F34" s="19">
        <v>4</v>
      </c>
      <c r="G34" s="19">
        <v>4</v>
      </c>
      <c r="H34" s="19">
        <v>29</v>
      </c>
      <c r="I34" s="19">
        <v>32</v>
      </c>
      <c r="J34" s="19">
        <v>34</v>
      </c>
      <c r="K34" s="19">
        <v>12</v>
      </c>
      <c r="L34" s="19">
        <v>7</v>
      </c>
      <c r="M34" s="19">
        <v>13</v>
      </c>
      <c r="N34" s="20">
        <f t="shared" si="0"/>
        <v>44</v>
      </c>
      <c r="O34" s="14">
        <f t="shared" si="0"/>
        <v>44</v>
      </c>
      <c r="P34" s="15">
        <f t="shared" si="0"/>
        <v>52</v>
      </c>
      <c r="V34" s="16"/>
      <c r="AD34" s="16"/>
      <c r="AE34" s="10"/>
    </row>
    <row r="35" spans="1:31" x14ac:dyDescent="0.25">
      <c r="A35" s="27" t="s">
        <v>20</v>
      </c>
      <c r="B35" s="28">
        <v>38</v>
      </c>
      <c r="C35" s="37" t="s">
        <v>28</v>
      </c>
      <c r="D35" s="28">
        <v>744</v>
      </c>
      <c r="E35" s="28">
        <v>44</v>
      </c>
      <c r="F35" s="28">
        <v>297</v>
      </c>
      <c r="G35" s="28">
        <v>322</v>
      </c>
      <c r="H35" s="28">
        <v>4191</v>
      </c>
      <c r="I35" s="28">
        <v>6289</v>
      </c>
      <c r="J35" s="28">
        <v>8471</v>
      </c>
      <c r="K35" s="28">
        <v>352</v>
      </c>
      <c r="L35" s="28">
        <v>117</v>
      </c>
      <c r="M35" s="28">
        <v>601</v>
      </c>
      <c r="N35" s="29">
        <f>B35+E35+H35+K35</f>
        <v>4625</v>
      </c>
      <c r="O35" s="30">
        <v>6703</v>
      </c>
      <c r="P35" s="31">
        <f t="shared" ref="P35" si="1">D35+G35+J35+M35</f>
        <v>10138</v>
      </c>
      <c r="U35" s="16"/>
      <c r="V35" s="16"/>
      <c r="W35" s="16"/>
      <c r="Z35" s="16"/>
      <c r="AA35" s="16"/>
      <c r="AB35" s="16"/>
      <c r="AC35" s="16"/>
      <c r="AD35" s="16"/>
      <c r="AE35" s="10"/>
    </row>
    <row r="36" spans="1:31" x14ac:dyDescent="0.25">
      <c r="A36" s="36" t="s">
        <v>21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</row>
    <row r="37" spans="1:31" x14ac:dyDescent="0.25">
      <c r="A37" s="38" t="s">
        <v>37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</row>
    <row r="38" spans="1:31" x14ac:dyDescent="0.25">
      <c r="A38" s="38" t="s">
        <v>29</v>
      </c>
      <c r="N38" s="32"/>
      <c r="O38" s="32"/>
      <c r="P38" s="32"/>
    </row>
    <row r="39" spans="1:31" x14ac:dyDescent="0.25">
      <c r="A39" s="35" t="s">
        <v>24</v>
      </c>
      <c r="N39" s="32"/>
      <c r="O39" s="32"/>
      <c r="P39" s="32"/>
    </row>
    <row r="40" spans="1:31" x14ac:dyDescent="0.25">
      <c r="A40" s="35" t="s">
        <v>32</v>
      </c>
      <c r="N40" s="32"/>
      <c r="O40" s="32"/>
      <c r="P40" s="32"/>
    </row>
    <row r="41" spans="1:31" x14ac:dyDescent="0.25">
      <c r="A41" s="35" t="s">
        <v>39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2"/>
      <c r="O41" s="32"/>
      <c r="P41" s="32"/>
      <c r="V41" s="10"/>
      <c r="AD41" s="10"/>
      <c r="AE41" s="10"/>
    </row>
    <row r="42" spans="1:31" x14ac:dyDescent="0.25">
      <c r="A42" s="33" t="s">
        <v>27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V42" s="10"/>
      <c r="AD42" s="10"/>
      <c r="AE42" s="10"/>
    </row>
    <row r="43" spans="1:31" x14ac:dyDescent="0.25">
      <c r="A43" s="33" t="s">
        <v>40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U43" s="16"/>
      <c r="V43" s="16"/>
      <c r="W43" s="16"/>
      <c r="Z43" s="16"/>
      <c r="AA43" s="16"/>
      <c r="AB43" s="16"/>
      <c r="AD43" s="16"/>
      <c r="AE43" s="10"/>
    </row>
    <row r="44" spans="1:31" x14ac:dyDescent="0.25">
      <c r="A44" s="33" t="s">
        <v>33</v>
      </c>
    </row>
    <row r="45" spans="1:31" x14ac:dyDescent="0.25">
      <c r="A45" s="39" t="s">
        <v>41</v>
      </c>
    </row>
  </sheetData>
  <mergeCells count="5">
    <mergeCell ref="B3:D3"/>
    <mergeCell ref="E3:G3"/>
    <mergeCell ref="H3:J3"/>
    <mergeCell ref="K3:M3"/>
    <mergeCell ref="N3:P3"/>
  </mergeCells>
  <pageMargins left="0.7" right="0.7" top="0.75" bottom="0.75" header="0.3" footer="0.3"/>
  <pageSetup paperSize="8" scale="6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 final</vt:lpstr>
    </vt:vector>
  </TitlesOfParts>
  <Company>Department of Industry, Innovation and Science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Raymundo, Rissa</dc:creator>
  <cp:lastModifiedBy>Bingham, Adam</cp:lastModifiedBy>
  <cp:lastPrinted>2017-03-20T04:56:06Z</cp:lastPrinted>
  <dcterms:created xsi:type="dcterms:W3CDTF">2017-01-12T09:33:50Z</dcterms:created>
  <dcterms:modified xsi:type="dcterms:W3CDTF">2019-02-14T01:58:11Z</dcterms:modified>
</cp:coreProperties>
</file>